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3" yWindow="-103" windowWidth="33120" windowHeight="18000" tabRatio="600" firstSheet="0" activeTab="1" autoFilterDateGrouping="1"/>
  </bookViews>
  <sheets>
    <sheet xmlns:r="http://schemas.openxmlformats.org/officeDocument/2006/relationships" name="Instruções" sheetId="1" state="visible" r:id="rId1"/>
    <sheet xmlns:r="http://schemas.openxmlformats.org/officeDocument/2006/relationships" name="Requisitos" sheetId="2" state="visible" r:id="rId2"/>
    <sheet xmlns:r="http://schemas.openxmlformats.org/officeDocument/2006/relationships" name="Resumo" sheetId="3" state="visible" r:id="rId3"/>
    <sheet xmlns:r="http://schemas.openxmlformats.org/officeDocument/2006/relationships" name="Leitura integral" sheetId="4" state="visible" r:id="rId4"/>
    <sheet xmlns:r="http://schemas.openxmlformats.org/officeDocument/2006/relationships" name="Controle" sheetId="5" state="visible" r:id="rId5"/>
    <sheet xmlns:r="http://schemas.openxmlformats.org/officeDocument/2006/relationships" name="Subitens RF-P" sheetId="6" state="visible" r:id="rId6"/>
  </sheets>
  <definedNames>
    <definedName name="Situacoes_Avaliacao">'Controle'!$I$1:$I$7</definedName>
    <definedName name="Resultados_Comissao">'Controle'!$K$1:$K$3</definedName>
    <definedName name="_xlnm.Print_Area" localSheetId="0">'Instruções'!$A$1:$H$29</definedName>
    <definedName name="_xlnm._FilterDatabase" localSheetId="1" hidden="1">'Requisitos'!$A$6:$R$72</definedName>
    <definedName name="_xlnm.Print_Area" localSheetId="1">'Requisitos'!$A$1:$R$72</definedName>
    <definedName name="_xlnm.Print_Area" localSheetId="2">'Resumo'!$A$1:$H$21</definedName>
    <definedName name="_xlnm._FilterDatabase" localSheetId="3" hidden="1">'Leitura integral'!$A$4:$C$73</definedName>
    <definedName name="_xlnm.Print_Titles" localSheetId="3">'Leitura integral'!$1:$4</definedName>
    <definedName name="_xlnm.Print_Area" localSheetId="3">'Leitura integral'!$A$1:$C$73</definedName>
    <definedName name="_xlnm._FilterDatabase" localSheetId="4" hidden="1">'Controle'!$A$5:$G$71</definedName>
    <definedName name="_xlnm.Print_Titles" localSheetId="4">'Controle'!$1:$5</definedName>
    <definedName name="_xlnm.Print_Area" localSheetId="4">'Controle'!$A$1:$G$71</definedName>
    <definedName name="_xlnm._FilterDatabase" localSheetId="5" hidden="1">'Subitens RF-P'!$A$5:$H$67</definedName>
    <definedName name="_xlnm.Print_Titles" localSheetId="5">'Subitens RF-P'!$1:$5</definedName>
    <definedName name="_xlnm.Print_Area" localSheetId="5">'Subitens RF-P'!$A$1:$H$67</definedName>
  </definedNames>
  <calcPr calcId="191029" fullCalcOnLoad="1"/>
</workbook>
</file>

<file path=xl/styles.xml><?xml version="1.0" encoding="utf-8"?>
<styleSheet xmlns="http://schemas.openxmlformats.org/spreadsheetml/2006/main">
  <numFmts count="0"/>
  <fonts count="47">
    <font>
      <name val="Carlito"/>
      <sz val="11"/>
    </font>
    <font>
      <name val="Aptos"/>
      <b val="1"/>
      <color rgb="FFFFFFFF"/>
      <sz val="14"/>
    </font>
    <font>
      <name val="Aptos"/>
      <b val="1"/>
      <color rgb="FF001A33"/>
      <sz val="14"/>
    </font>
    <font>
      <name val="Aptos"/>
      <b val="1"/>
      <color rgb="FF1F4E78"/>
      <sz val="14"/>
    </font>
    <font>
      <name val="Aptos"/>
      <b val="1"/>
      <color rgb="FF000000"/>
      <sz val="14"/>
    </font>
    <font>
      <name val="Aptos"/>
      <color rgb="FF000000"/>
      <sz val="14"/>
    </font>
    <font>
      <name val="Aptos"/>
      <b val="1"/>
      <color rgb="FF1F4E78"/>
      <sz val="14"/>
    </font>
    <font>
      <name val="Aptos"/>
      <b val="1"/>
      <color rgb="FFFFFFFF"/>
      <sz val="14"/>
    </font>
    <font>
      <name val="Aptos"/>
      <b val="1"/>
      <color rgb="FFC62828"/>
      <sz val="14"/>
    </font>
    <font>
      <name val="Aptos"/>
      <b val="1"/>
      <color rgb="FFFF0000"/>
      <sz val="14"/>
    </font>
    <font>
      <name val="Aptos"/>
      <color rgb="FFFF0000"/>
      <sz val="14"/>
    </font>
    <font>
      <name val="Aptos"/>
      <b val="1"/>
      <color rgb="FFFF0000"/>
      <sz val="14"/>
    </font>
    <font>
      <name val="Aptos"/>
      <color rgb="FFFF0000"/>
      <sz val="11"/>
    </font>
    <font>
      <name val="Aptos"/>
      <b val="1"/>
      <color rgb="FFFF0000"/>
      <sz val="12"/>
    </font>
    <font>
      <name val="Aptos"/>
      <color rgb="FFFF0000"/>
      <sz val="11"/>
    </font>
    <font>
      <name val="Aptos"/>
      <b val="1"/>
      <color rgb="FFFFFFFF"/>
      <sz val="12"/>
    </font>
    <font>
      <name val="Aptos"/>
      <b val="1"/>
      <color rgb="FF17365D"/>
      <sz val="14"/>
    </font>
    <font>
      <name val="Aptos"/>
      <color rgb="FF17365D"/>
      <sz val="11"/>
    </font>
    <font>
      <name val="Aptos"/>
      <b val="1"/>
      <color rgb="FFFFFFFF"/>
      <sz val="11"/>
    </font>
    <font>
      <name val="Aptos"/>
      <color rgb="FFFF0000"/>
      <sz val="14"/>
    </font>
    <font>
      <name val="Aptos"/>
      <color rgb="00FF0000"/>
      <sz val="14"/>
    </font>
    <font>
      <name val="Aptos"/>
      <b val="1"/>
      <color rgb="0017365D"/>
      <sz val="14"/>
    </font>
    <font>
      <name val="Aptos"/>
      <color rgb="00000000"/>
      <sz val="12"/>
    </font>
    <font>
      <name val="Aptos"/>
      <b val="1"/>
      <color rgb="0017365D"/>
      <sz val="12"/>
    </font>
    <font>
      <name val="Aptos"/>
      <b val="1"/>
      <color rgb="00FF0000"/>
      <sz val="14"/>
    </font>
    <font>
      <name val="Aptos"/>
      <color rgb="00FF0000"/>
      <sz val="11"/>
    </font>
    <font>
      <name val="Aptos"/>
      <b val="1"/>
      <color rgb="0024527A"/>
      <sz val="14"/>
    </font>
    <font>
      <name val="Aptos"/>
      <b val="1"/>
      <color rgb="00008000"/>
      <sz val="14"/>
    </font>
    <font>
      <name val="Aptos"/>
      <color rgb="00000000"/>
      <sz val="14"/>
    </font>
    <font>
      <name val="Aptos"/>
      <b val="1"/>
      <color rgb="00000000"/>
      <sz val="14"/>
    </font>
    <font>
      <name val="Carlito"/>
      <color rgb="00000000"/>
      <sz val="11"/>
    </font>
    <font>
      <name val="Aptos"/>
      <b val="1"/>
      <color rgb="00FFFFFF"/>
      <sz val="14"/>
    </font>
    <font>
      <name val="Aptos"/>
      <b val="1"/>
      <color rgb="0024527A"/>
      <sz val="12"/>
    </font>
    <font>
      <name val="Aptos"/>
      <color rgb="00000000"/>
      <sz val="11"/>
    </font>
    <font>
      <name val="Aptos"/>
      <b val="1"/>
      <color rgb="00FFFFFF"/>
      <sz val="12"/>
    </font>
    <font>
      <name val="Aptos"/>
      <b val="1"/>
      <color rgb="00FFFFFF"/>
      <sz val="11"/>
    </font>
    <font>
      <name val="Aptos"/>
      <color rgb="00008000"/>
      <sz val="11"/>
    </font>
    <font>
      <name val="Aptos"/>
      <b val="1"/>
      <color rgb="00008000"/>
      <sz val="12"/>
    </font>
    <font>
      <name val="Aptos"/>
      <color rgb="00008000"/>
      <sz val="14"/>
    </font>
    <font>
      <name val="Aptos"/>
      <b val="1"/>
      <color rgb="FF000000"/>
      <sz val="14"/>
    </font>
    <font>
      <name val="Aptos"/>
      <b val="1"/>
      <color rgb="FF000000"/>
      <sz val="14"/>
    </font>
    <font>
      <name val="Aptos"/>
      <b val="1"/>
      <color rgb="000000FF"/>
      <sz val="14"/>
    </font>
    <font>
      <name val="Carlito"/>
      <color rgb="000000FF"/>
      <sz val="11"/>
    </font>
    <font>
      <name val="Aptos"/>
      <color rgb="000000FF"/>
      <sz val="11"/>
    </font>
    <font>
      <name val="Aptos"/>
      <color rgb="000000FF"/>
      <sz val="12"/>
    </font>
    <font>
      <name val="Aptos"/>
      <color rgb="000000FF"/>
      <sz val="14"/>
    </font>
    <font>
      <name val="Aptos"/>
      <b val="1"/>
      <color rgb="000000FF"/>
      <sz val="12"/>
    </font>
  </fonts>
  <fills count="16">
    <fill>
      <patternFill/>
    </fill>
    <fill>
      <patternFill patternType="gray125"/>
    </fill>
    <fill>
      <patternFill patternType="solid">
        <fgColor rgb="FF001A33"/>
      </patternFill>
    </fill>
    <fill>
      <patternFill patternType="solid">
        <fgColor rgb="FFFFFFFF"/>
      </patternFill>
    </fill>
    <fill>
      <patternFill patternType="solid">
        <fgColor rgb="FF001A33"/>
      </patternFill>
    </fill>
    <fill>
      <patternFill patternType="solid">
        <fgColor rgb="FFD9EAF7"/>
      </patternFill>
    </fill>
    <fill>
      <patternFill patternType="solid">
        <fgColor rgb="FFFFF2CC"/>
      </patternFill>
    </fill>
    <fill>
      <patternFill patternType="solid">
        <fgColor rgb="FFE2F0D9"/>
      </patternFill>
    </fill>
    <fill>
      <patternFill patternType="solid">
        <fgColor rgb="FFEEF5F9"/>
      </patternFill>
    </fill>
    <fill>
      <patternFill patternType="solid">
        <fgColor rgb="FFFCE8E6"/>
      </patternFill>
    </fill>
    <fill>
      <patternFill patternType="solid">
        <fgColor rgb="FFEEF5F9"/>
      </patternFill>
    </fill>
    <fill>
      <patternFill patternType="solid">
        <fgColor rgb="FFFFFFFF"/>
      </patternFill>
    </fill>
    <fill>
      <patternFill patternType="solid">
        <fgColor rgb="FF002B49"/>
      </patternFill>
    </fill>
    <fill>
      <patternFill patternType="solid">
        <fgColor rgb="FF17365D"/>
      </patternFill>
    </fill>
    <fill>
      <patternFill patternType="solid">
        <fgColor rgb="FFF3F6FA"/>
      </patternFill>
    </fill>
    <fill>
      <patternFill patternType="solid">
        <fgColor rgb="00FFFFFF"/>
      </patternFill>
    </fill>
  </fills>
  <borders count="18">
    <border>
      <left/>
      <right/>
      <top/>
      <bottom/>
      <diagonal/>
    </border>
    <border>
      <left style="thin">
        <color rgb="FFFFFFFF"/>
      </left>
      <right style="thin">
        <color rgb="FFFFFFFF"/>
      </right>
      <top style="thin">
        <color rgb="FFFFFFFF"/>
      </top>
      <bottom style="thin">
        <color rgb="FFFFFFFF"/>
      </bottom>
      <diagonal/>
    </border>
    <border>
      <left style="thin">
        <color rgb="FFAFC4D6"/>
      </left>
      <right style="thin">
        <color rgb="FFAFC4D6"/>
      </right>
      <top style="thin">
        <color rgb="FFAFC4D6"/>
      </top>
      <bottom style="thin">
        <color rgb="FFAFC4D6"/>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style="hair">
        <color rgb="FFCCD7E3"/>
      </bottom>
      <diagonal/>
    </border>
    <border>
      <left/>
      <right/>
      <top style="thin">
        <color rgb="FFFFFFFF"/>
      </top>
      <bottom/>
      <diagonal/>
    </border>
    <border>
      <left/>
      <right style="thin">
        <color rgb="FFFFFFFF"/>
      </right>
      <top style="thin">
        <color rgb="FFFFFFFF"/>
      </top>
      <bottom/>
      <diagonal/>
    </border>
    <border>
      <bottom style="thin">
        <color rgb="0017365D"/>
      </bottom>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right/>
      <top style="thin">
        <color rgb="FFAFC4D6"/>
      </top>
      <bottom/>
      <diagonal/>
    </border>
    <border>
      <left/>
      <right style="thin">
        <color rgb="FFAFC4D6"/>
      </right>
      <top style="thin">
        <color rgb="FFAFC4D6"/>
      </top>
      <bottom/>
      <diagonal/>
    </border>
    <border>
      <left/>
      <right/>
      <top style="thin">
        <color rgb="FFAFC4D6"/>
      </top>
      <bottom style="thin">
        <color rgb="FFAFC4D6"/>
      </bottom>
      <diagonal/>
    </border>
    <border>
      <left/>
      <right style="thin">
        <color rgb="FFAFC4D6"/>
      </right>
      <top style="thin">
        <color rgb="FFAFC4D6"/>
      </top>
      <bottom style="thin">
        <color rgb="FFAFC4D6"/>
      </bottom>
      <diagonal/>
    </border>
  </borders>
  <cellStyleXfs count="1">
    <xf numFmtId="0" fontId="0" fillId="0" borderId="0"/>
  </cellStyleXfs>
  <cellXfs count="126">
    <xf numFmtId="0" fontId="0" fillId="0" borderId="0" pivotButton="0" quotePrefix="0" xfId="0"/>
    <xf numFmtId="0" fontId="5" fillId="0" borderId="0" applyAlignment="1" pivotButton="0" quotePrefix="0" xfId="0">
      <alignment vertical="center" wrapText="1"/>
    </xf>
    <xf numFmtId="0" fontId="3" fillId="3" borderId="2" applyAlignment="1" pivotButton="0" quotePrefix="0" xfId="0">
      <alignment horizontal="center" vertical="center" wrapText="1"/>
    </xf>
    <xf numFmtId="0" fontId="5" fillId="3" borderId="2" applyAlignment="1" pivotButton="0" quotePrefix="0" xfId="0">
      <alignment horizontal="left" vertical="center" wrapText="1"/>
    </xf>
    <xf numFmtId="0" fontId="7" fillId="4" borderId="2" applyAlignment="1" pivotButton="0" quotePrefix="0" xfId="0">
      <alignment horizontal="center" vertical="center" wrapText="1"/>
    </xf>
    <xf numFmtId="0" fontId="5" fillId="5" borderId="2" applyAlignment="1" pivotButton="0" quotePrefix="0" xfId="0">
      <alignment horizontal="left" vertical="center" wrapText="1"/>
    </xf>
    <xf numFmtId="1" fontId="5" fillId="5" borderId="2" applyAlignment="1" pivotButton="0" quotePrefix="0" xfId="0">
      <alignment horizontal="center" vertical="center" wrapText="1"/>
    </xf>
    <xf numFmtId="1" fontId="5" fillId="3" borderId="2" applyAlignment="1" pivotButton="0" quotePrefix="0" xfId="0">
      <alignment horizontal="center" vertical="center" wrapText="1"/>
    </xf>
    <xf numFmtId="1" fontId="5" fillId="6" borderId="2" applyAlignment="1" pivotButton="0" quotePrefix="0" xfId="0">
      <alignment horizontal="center" vertical="center" wrapText="1"/>
    </xf>
    <xf numFmtId="0" fontId="5" fillId="6" borderId="2" applyAlignment="1" pivotButton="0" quotePrefix="0" xfId="0">
      <alignment horizontal="center" vertical="center" wrapText="1"/>
    </xf>
    <xf numFmtId="1" fontId="5" fillId="7" borderId="2" applyAlignment="1" pivotButton="0" quotePrefix="0" xfId="0">
      <alignment horizontal="center" vertical="center" wrapText="1"/>
    </xf>
    <xf numFmtId="0" fontId="4" fillId="5" borderId="2" applyAlignment="1" pivotButton="0" quotePrefix="0" xfId="0">
      <alignment horizontal="center" vertical="center" wrapText="1"/>
    </xf>
    <xf numFmtId="0" fontId="4" fillId="3" borderId="2" applyAlignment="1" pivotButton="0" quotePrefix="0" xfId="0">
      <alignment horizontal="center" vertical="center" wrapText="1"/>
    </xf>
    <xf numFmtId="0" fontId="5" fillId="5" borderId="2" applyAlignment="1" pivotButton="0" quotePrefix="0" xfId="0">
      <alignment horizontal="center" vertical="center" wrapText="1"/>
    </xf>
    <xf numFmtId="0" fontId="5" fillId="3" borderId="2" applyAlignment="1" pivotButton="0" quotePrefix="0" xfId="0">
      <alignment horizontal="center" vertical="center" wrapText="1"/>
    </xf>
    <xf numFmtId="0" fontId="4" fillId="2" borderId="0" applyAlignment="1" pivotButton="0" quotePrefix="0" xfId="0">
      <alignment horizontal="center" vertical="center" wrapText="1"/>
    </xf>
    <xf numFmtId="0" fontId="1" fillId="4" borderId="2" applyAlignment="1" pivotButton="0" quotePrefix="0" xfId="0">
      <alignment horizontal="center" vertical="center" wrapText="1"/>
    </xf>
    <xf numFmtId="0" fontId="2" fillId="8" borderId="2" applyAlignment="1" pivotButton="0" quotePrefix="0" xfId="0">
      <alignment horizontal="left" vertical="center" wrapText="1"/>
    </xf>
    <xf numFmtId="0" fontId="8" fillId="9" borderId="2" applyAlignment="1" pivotButton="0" quotePrefix="0" xfId="0">
      <alignment horizontal="center" vertical="center" wrapText="1"/>
    </xf>
    <xf numFmtId="0" fontId="2" fillId="10" borderId="2" applyAlignment="1" pivotButton="0" quotePrefix="0" xfId="0">
      <alignment horizontal="left" vertical="center" wrapText="1"/>
    </xf>
    <xf numFmtId="2" fontId="4" fillId="11" borderId="2" applyAlignment="1" pivotButton="0" quotePrefix="0" xfId="0">
      <alignment horizontal="center" vertical="center" wrapText="1"/>
    </xf>
    <xf numFmtId="0" fontId="11" fillId="3" borderId="2" applyAlignment="1" pivotButton="0" quotePrefix="0" xfId="0">
      <alignment horizontal="center" vertical="center" wrapText="1"/>
    </xf>
    <xf numFmtId="0" fontId="10" fillId="3" borderId="2" applyAlignment="1" pivotButton="0" quotePrefix="0" xfId="0">
      <alignment horizontal="left" vertical="center" wrapText="1"/>
    </xf>
    <xf numFmtId="0" fontId="9" fillId="5" borderId="2" applyAlignment="1" pivotButton="0" quotePrefix="0" xfId="0">
      <alignment horizontal="center" vertical="center" wrapText="1"/>
    </xf>
    <xf numFmtId="0" fontId="15" fillId="12" borderId="0" applyAlignment="1" pivotButton="0" quotePrefix="0" xfId="0">
      <alignment vertical="center" wrapText="1"/>
    </xf>
    <xf numFmtId="0" fontId="12" fillId="0" borderId="5" applyAlignment="1" pivotButton="0" quotePrefix="0" xfId="0">
      <alignment vertical="center" wrapText="1"/>
    </xf>
    <xf numFmtId="0" fontId="18" fillId="13" borderId="0" applyAlignment="1" pivotButton="0" quotePrefix="0" xfId="0">
      <alignment vertical="center" wrapText="1"/>
    </xf>
    <xf numFmtId="0" fontId="19" fillId="5" borderId="2" applyAlignment="1" pivotButton="0" quotePrefix="0" xfId="0">
      <alignment horizontal="left" vertical="center" wrapText="1"/>
    </xf>
    <xf numFmtId="0" fontId="19" fillId="3" borderId="2" applyAlignment="1" pivotButton="0" quotePrefix="0" xfId="0">
      <alignment horizontal="left" vertical="center" wrapText="1"/>
    </xf>
    <xf numFmtId="0" fontId="12" fillId="0" borderId="5" applyAlignment="1" pivotButton="0" quotePrefix="0" xfId="0">
      <alignment vertical="top" wrapText="1"/>
    </xf>
    <xf numFmtId="0" fontId="14" fillId="14" borderId="0" applyAlignment="1" pivotButton="0" quotePrefix="0" xfId="0">
      <alignment horizontal="left" vertical="top" wrapText="1"/>
    </xf>
    <xf numFmtId="0" fontId="14" fillId="0" borderId="0" applyAlignment="1" pivotButton="0" quotePrefix="0" xfId="0">
      <alignment horizontal="left" vertical="top" wrapText="1"/>
    </xf>
    <xf numFmtId="0" fontId="3" fillId="11" borderId="1" applyAlignment="1" pivotButton="0" quotePrefix="0" xfId="0">
      <alignment horizontal="center" vertical="center" wrapText="1"/>
    </xf>
    <xf numFmtId="0" fontId="0" fillId="0" borderId="3" pivotButton="0" quotePrefix="0" xfId="0"/>
    <xf numFmtId="0" fontId="0" fillId="0" borderId="4" pivotButton="0" quotePrefix="0" xfId="0"/>
    <xf numFmtId="0" fontId="6" fillId="3" borderId="1" applyAlignment="1" pivotButton="0" quotePrefix="0" xfId="0">
      <alignment horizontal="center" vertical="center" wrapText="1"/>
    </xf>
    <xf numFmtId="0" fontId="5" fillId="0" borderId="0" applyAlignment="1" pivotButton="0" quotePrefix="0" xfId="0">
      <alignment vertical="center" wrapText="1"/>
    </xf>
    <xf numFmtId="0" fontId="0" fillId="0" borderId="0" pivotButton="0" quotePrefix="0" xfId="0"/>
    <xf numFmtId="0" fontId="2" fillId="10" borderId="1" applyAlignment="1" pivotButton="0" quotePrefix="0" xfId="0">
      <alignment horizontal="left" vertical="center" wrapText="1"/>
    </xf>
    <xf numFmtId="0" fontId="13" fillId="0" borderId="0" applyAlignment="1" pivotButton="0" quotePrefix="0" xfId="0">
      <alignment horizontal="left" vertical="center" wrapText="1"/>
    </xf>
    <xf numFmtId="0" fontId="14" fillId="0" borderId="0" applyAlignment="1" pivotButton="0" quotePrefix="0" xfId="0">
      <alignment horizontal="left" vertical="center" wrapText="1"/>
    </xf>
    <xf numFmtId="0" fontId="16" fillId="0" borderId="0" applyAlignment="1" pivotButton="0" quotePrefix="0" xfId="0">
      <alignment vertical="center" wrapText="1"/>
    </xf>
    <xf numFmtId="0" fontId="17" fillId="0" borderId="0" applyAlignment="1" pivotButton="0" quotePrefix="0" xfId="0">
      <alignment vertical="center" wrapText="1"/>
    </xf>
    <xf numFmtId="0" fontId="24" fillId="3" borderId="2" applyAlignment="1" pivotButton="0" quotePrefix="0" xfId="0">
      <alignment horizontal="center" vertical="center" wrapText="1"/>
    </xf>
    <xf numFmtId="0" fontId="20" fillId="3" borderId="2" applyAlignment="1" pivotButton="0" quotePrefix="0" xfId="0">
      <alignment horizontal="left" vertical="center" wrapText="1"/>
    </xf>
    <xf numFmtId="0" fontId="5" fillId="6" borderId="2" applyAlignment="1" applyProtection="1" pivotButton="0" quotePrefix="0" xfId="0">
      <alignment horizontal="center" vertical="center" wrapText="1"/>
      <protection locked="0" hidden="0"/>
    </xf>
    <xf numFmtId="1" fontId="5" fillId="6" borderId="2" applyAlignment="1" applyProtection="1" pivotButton="0" quotePrefix="0" xfId="0">
      <alignment horizontal="center" vertical="center" wrapText="1"/>
      <protection locked="0" hidden="0"/>
    </xf>
    <xf numFmtId="1" fontId="20" fillId="7" borderId="2" applyAlignment="1" pivotButton="0" quotePrefix="0" xfId="0">
      <alignment horizontal="center" vertical="center" wrapText="1"/>
    </xf>
    <xf numFmtId="0" fontId="5" fillId="5" borderId="2" applyAlignment="1" applyProtection="1" pivotButton="0" quotePrefix="0" xfId="0">
      <alignment horizontal="left" vertical="center" wrapText="1"/>
      <protection locked="0" hidden="0"/>
    </xf>
    <xf numFmtId="0" fontId="5" fillId="3" borderId="2" applyAlignment="1" applyProtection="1" pivotButton="0" quotePrefix="0" xfId="0">
      <alignment horizontal="left" vertical="center" wrapText="1"/>
      <protection locked="0" hidden="0"/>
    </xf>
    <xf numFmtId="0" fontId="24" fillId="9" borderId="2" applyAlignment="1" pivotButton="0" quotePrefix="0" xfId="0">
      <alignment horizontal="center" vertical="center" wrapText="1"/>
    </xf>
    <xf numFmtId="2" fontId="24" fillId="11" borderId="2" applyAlignment="1" pivotButton="0" quotePrefix="0" xfId="0">
      <alignment horizontal="center" vertical="center" wrapText="1"/>
    </xf>
    <xf numFmtId="0" fontId="2" fillId="10" borderId="1" applyAlignment="1" pivotButton="0" quotePrefix="0" xfId="0">
      <alignment vertical="center" wrapText="1"/>
    </xf>
    <xf numFmtId="0" fontId="25" fillId="0" borderId="5" applyAlignment="1" pivotButton="0" quotePrefix="0" xfId="0">
      <alignment vertical="center" wrapText="1"/>
    </xf>
    <xf numFmtId="0" fontId="21" fillId="0" borderId="0" applyAlignment="1" pivotButton="0" quotePrefix="0" xfId="0">
      <alignment vertical="center" wrapText="1"/>
    </xf>
    <xf numFmtId="0" fontId="22" fillId="0" borderId="0" applyAlignment="1" pivotButton="0" quotePrefix="0" xfId="0">
      <alignment vertical="center" wrapText="1"/>
    </xf>
    <xf numFmtId="0" fontId="23" fillId="0" borderId="8" applyAlignment="1" pivotButton="0" quotePrefix="0" xfId="0">
      <alignment vertical="center" wrapText="1"/>
    </xf>
    <xf numFmtId="0" fontId="22" fillId="0" borderId="0" applyAlignment="1" applyProtection="1" pivotButton="0" quotePrefix="0" xfId="0">
      <alignment vertical="center" wrapText="1"/>
      <protection locked="0" hidden="0"/>
    </xf>
    <xf numFmtId="0" fontId="20" fillId="5" borderId="2" applyAlignment="1" pivotButton="0" quotePrefix="0" xfId="0">
      <alignment horizontal="left" vertical="center" wrapText="1"/>
    </xf>
    <xf numFmtId="0" fontId="0" fillId="0" borderId="6" pivotButton="0" quotePrefix="0" xfId="0"/>
    <xf numFmtId="0" fontId="0" fillId="0" borderId="7" pivotButton="0" quotePrefix="0" xfId="0"/>
    <xf numFmtId="0" fontId="0" fillId="0" borderId="11" pivotButton="0" quotePrefix="0" xfId="0"/>
    <xf numFmtId="0" fontId="0" fillId="0" borderId="12" pivotButton="0" quotePrefix="0" xfId="0"/>
    <xf numFmtId="0" fontId="0" fillId="0" borderId="13" pivotButton="0" quotePrefix="0" xfId="0"/>
    <xf numFmtId="0" fontId="26" fillId="11" borderId="1" applyAlignment="1" pivotButton="0" quotePrefix="0" xfId="0">
      <alignment horizontal="center" vertical="center" wrapText="1"/>
    </xf>
    <xf numFmtId="0" fontId="27" fillId="11" borderId="1" applyAlignment="1" pivotButton="0" quotePrefix="0" xfId="0">
      <alignment horizontal="center" vertical="center" wrapText="1"/>
    </xf>
    <xf numFmtId="0" fontId="28" fillId="0" borderId="0" applyAlignment="1" pivotButton="0" quotePrefix="0" xfId="0">
      <alignment vertical="center" wrapText="1"/>
    </xf>
    <xf numFmtId="0" fontId="26" fillId="3" borderId="1" applyAlignment="1" pivotButton="0" quotePrefix="0" xfId="0">
      <alignment horizontal="center" vertical="center" wrapText="1"/>
    </xf>
    <xf numFmtId="0" fontId="29" fillId="3" borderId="2" applyAlignment="1" pivotButton="0" quotePrefix="0" xfId="0">
      <alignment horizontal="center" vertical="center" wrapText="1"/>
    </xf>
    <xf numFmtId="0" fontId="28" fillId="3" borderId="2" applyAlignment="1" pivotButton="0" quotePrefix="0" xfId="0">
      <alignment horizontal="left" vertical="center" wrapText="1"/>
    </xf>
    <xf numFmtId="0" fontId="38" fillId="3" borderId="2" applyAlignment="1" pivotButton="0" quotePrefix="0" xfId="0">
      <alignment horizontal="left" vertical="center" wrapText="1"/>
    </xf>
    <xf numFmtId="0" fontId="30" fillId="0" borderId="0" pivotButton="0" quotePrefix="0" xfId="0"/>
    <xf numFmtId="0" fontId="27" fillId="3" borderId="2" applyAlignment="1" pivotButton="0" quotePrefix="0" xfId="0">
      <alignment horizontal="center" vertical="center" wrapText="1"/>
    </xf>
    <xf numFmtId="0" fontId="31" fillId="4" borderId="2" applyAlignment="1" pivotButton="0" quotePrefix="0" xfId="0">
      <alignment horizontal="center" vertical="center" wrapText="1"/>
    </xf>
    <xf numFmtId="0" fontId="29" fillId="5" borderId="2" applyAlignment="1" pivotButton="0" quotePrefix="0" xfId="0">
      <alignment horizontal="center" vertical="center" wrapText="1"/>
    </xf>
    <xf numFmtId="0" fontId="28" fillId="5" borderId="2" applyAlignment="1" pivotButton="0" quotePrefix="0" xfId="0">
      <alignment horizontal="left" vertical="center" wrapText="1"/>
    </xf>
    <xf numFmtId="0" fontId="28" fillId="5" borderId="2" applyAlignment="1" pivotButton="0" quotePrefix="0" xfId="0">
      <alignment horizontal="center" vertical="center" wrapText="1"/>
    </xf>
    <xf numFmtId="1" fontId="28" fillId="5" borderId="2" applyAlignment="1" pivotButton="0" quotePrefix="0" xfId="0">
      <alignment horizontal="center" vertical="center" wrapText="1"/>
    </xf>
    <xf numFmtId="0" fontId="28" fillId="6" borderId="2" applyAlignment="1" applyProtection="1" pivotButton="0" quotePrefix="0" xfId="0">
      <alignment horizontal="center" vertical="center" wrapText="1"/>
      <protection locked="0" hidden="0"/>
    </xf>
    <xf numFmtId="1" fontId="28" fillId="6" borderId="2" applyAlignment="1" applyProtection="1" pivotButton="0" quotePrefix="0" xfId="0">
      <alignment horizontal="center" vertical="center" wrapText="1"/>
      <protection locked="0" hidden="0"/>
    </xf>
    <xf numFmtId="1" fontId="28" fillId="7" borderId="2" applyAlignment="1" pivotButton="0" quotePrefix="0" xfId="0">
      <alignment horizontal="center" vertical="center" wrapText="1"/>
    </xf>
    <xf numFmtId="0" fontId="28" fillId="5" borderId="2" applyAlignment="1" applyProtection="1" pivotButton="0" quotePrefix="0" xfId="0">
      <alignment horizontal="left" vertical="center" wrapText="1"/>
      <protection locked="0" hidden="0"/>
    </xf>
    <xf numFmtId="0" fontId="28" fillId="3" borderId="2" applyAlignment="1" pivotButton="0" quotePrefix="0" xfId="0">
      <alignment horizontal="center" vertical="center" wrapText="1"/>
    </xf>
    <xf numFmtId="1" fontId="28" fillId="3" borderId="2" applyAlignment="1" pivotButton="0" quotePrefix="0" xfId="0">
      <alignment horizontal="center" vertical="center" wrapText="1"/>
    </xf>
    <xf numFmtId="0" fontId="28" fillId="3" borderId="2" applyAlignment="1" applyProtection="1" pivotButton="0" quotePrefix="0" xfId="0">
      <alignment horizontal="left" vertical="center" wrapText="1"/>
      <protection locked="0" hidden="0"/>
    </xf>
    <xf numFmtId="0" fontId="26" fillId="2" borderId="0" applyAlignment="1" pivotButton="0" quotePrefix="0" xfId="0">
      <alignment horizontal="center" vertical="center" wrapText="1"/>
    </xf>
    <xf numFmtId="0" fontId="26" fillId="8" borderId="2" applyAlignment="1" pivotButton="0" quotePrefix="0" xfId="0">
      <alignment horizontal="left" vertical="center" wrapText="1"/>
    </xf>
    <xf numFmtId="0" fontId="26" fillId="3" borderId="2" applyAlignment="1" pivotButton="0" quotePrefix="0" xfId="0">
      <alignment horizontal="center" vertical="center" wrapText="1"/>
    </xf>
    <xf numFmtId="0" fontId="29" fillId="8" borderId="2" applyAlignment="1" pivotButton="0" quotePrefix="0" xfId="0">
      <alignment horizontal="left" vertical="center" wrapText="1"/>
    </xf>
    <xf numFmtId="0" fontId="29" fillId="9" borderId="2" applyAlignment="1" pivotButton="0" quotePrefix="0" xfId="0">
      <alignment horizontal="center" vertical="center" wrapText="1"/>
    </xf>
    <xf numFmtId="0" fontId="29" fillId="10" borderId="2" applyAlignment="1" pivotButton="0" quotePrefix="0" xfId="0">
      <alignment horizontal="left" vertical="center" wrapText="1"/>
    </xf>
    <xf numFmtId="2" fontId="29" fillId="11" borderId="2" applyAlignment="1" pivotButton="0" quotePrefix="0" xfId="0">
      <alignment horizontal="center" vertical="center" wrapText="1"/>
    </xf>
    <xf numFmtId="0" fontId="29" fillId="10" borderId="1" applyAlignment="1" pivotButton="0" quotePrefix="0" xfId="0">
      <alignment horizontal="left" vertical="center" wrapText="1"/>
    </xf>
    <xf numFmtId="0" fontId="29" fillId="10" borderId="1" applyAlignment="1" pivotButton="0" quotePrefix="0" xfId="0">
      <alignment vertical="center" wrapText="1"/>
    </xf>
    <xf numFmtId="0" fontId="32" fillId="0" borderId="0" applyAlignment="1" pivotButton="0" quotePrefix="0" xfId="0">
      <alignment horizontal="left" vertical="center" wrapText="1"/>
    </xf>
    <xf numFmtId="0" fontId="36" fillId="0" borderId="0" applyAlignment="1" pivotButton="0" quotePrefix="0" xfId="0">
      <alignment horizontal="left" vertical="center" wrapText="1"/>
    </xf>
    <xf numFmtId="0" fontId="34" fillId="12" borderId="0" applyAlignment="1" pivotButton="0" quotePrefix="0" xfId="0">
      <alignment vertical="center" wrapText="1"/>
    </xf>
    <xf numFmtId="0" fontId="37" fillId="12" borderId="0" applyAlignment="1" pivotButton="0" quotePrefix="0" xfId="0">
      <alignment vertical="center" wrapText="1"/>
    </xf>
    <xf numFmtId="0" fontId="33" fillId="0" borderId="5" applyAlignment="1" pivotButton="0" quotePrefix="0" xfId="0">
      <alignment vertical="center" wrapText="1"/>
    </xf>
    <xf numFmtId="0" fontId="36" fillId="0" borderId="5" applyAlignment="1" pivotButton="0" quotePrefix="0" xfId="0">
      <alignment vertical="center" wrapText="1"/>
    </xf>
    <xf numFmtId="0" fontId="33" fillId="0" borderId="5" applyAlignment="1" pivotButton="0" quotePrefix="0" xfId="0">
      <alignment vertical="top" wrapText="1"/>
    </xf>
    <xf numFmtId="0" fontId="26" fillId="0" borderId="0" applyAlignment="1" pivotButton="0" quotePrefix="0" xfId="0">
      <alignment vertical="center" wrapText="1"/>
    </xf>
    <xf numFmtId="0" fontId="33" fillId="0" borderId="0" applyAlignment="1" pivotButton="0" quotePrefix="0" xfId="0">
      <alignment vertical="center" wrapText="1"/>
    </xf>
    <xf numFmtId="0" fontId="35" fillId="13" borderId="0" applyAlignment="1" pivotButton="0" quotePrefix="0" xfId="0">
      <alignment vertical="center" wrapText="1"/>
    </xf>
    <xf numFmtId="0" fontId="33" fillId="14" borderId="0" applyAlignment="1" pivotButton="0" quotePrefix="0" xfId="0">
      <alignment horizontal="left" vertical="top" wrapText="1"/>
    </xf>
    <xf numFmtId="0" fontId="33" fillId="0" borderId="0" applyAlignment="1" pivotButton="0" quotePrefix="0" xfId="0">
      <alignment horizontal="left" vertical="top" wrapText="1"/>
    </xf>
    <xf numFmtId="0" fontId="32" fillId="0" borderId="8" applyAlignment="1" pivotButton="0" quotePrefix="0" xfId="0">
      <alignment vertical="center" wrapText="1"/>
    </xf>
    <xf numFmtId="0" fontId="39" fillId="8" borderId="2" applyAlignment="1" pivotButton="0" quotePrefix="0" xfId="0">
      <alignment horizontal="left" vertical="center" wrapText="1"/>
    </xf>
    <xf numFmtId="0" fontId="40" fillId="3" borderId="2" applyAlignment="1" pivotButton="0" quotePrefix="0" xfId="0">
      <alignment horizontal="center" vertical="center" wrapText="1"/>
    </xf>
    <xf numFmtId="0" fontId="44" fillId="0" borderId="0" applyAlignment="1" pivotButton="0" quotePrefix="0" xfId="0">
      <alignment vertical="center" wrapText="1"/>
    </xf>
    <xf numFmtId="0" fontId="45" fillId="3" borderId="2" applyAlignment="1" pivotButton="0" quotePrefix="0" xfId="0">
      <alignment horizontal="left" vertical="center" wrapText="1"/>
    </xf>
    <xf numFmtId="0" fontId="41" fillId="3" borderId="2" applyAlignment="1" pivotButton="0" quotePrefix="0" xfId="0">
      <alignment horizontal="center" vertical="center" wrapText="1"/>
    </xf>
    <xf numFmtId="0" fontId="0" fillId="0" borderId="16" pivotButton="0" quotePrefix="0" xfId="0"/>
    <xf numFmtId="0" fontId="0" fillId="0" borderId="17" pivotButton="0" quotePrefix="0" xfId="0"/>
    <xf numFmtId="0" fontId="41" fillId="4" borderId="2" applyAlignment="1" pivotButton="0" quotePrefix="0" xfId="0">
      <alignment horizontal="center" vertical="center" wrapText="1"/>
    </xf>
    <xf numFmtId="0" fontId="45" fillId="5" borderId="2" applyAlignment="1" pivotButton="0" quotePrefix="0" xfId="0">
      <alignment horizontal="left" vertical="center" wrapText="1"/>
    </xf>
    <xf numFmtId="1" fontId="45" fillId="6" borderId="2" applyAlignment="1" pivotButton="0" quotePrefix="0" xfId="0">
      <alignment horizontal="center" vertical="center" wrapText="1"/>
    </xf>
    <xf numFmtId="0" fontId="41" fillId="8" borderId="2" applyAlignment="1" pivotButton="0" quotePrefix="0" xfId="0">
      <alignment horizontal="left" vertical="center" wrapText="1"/>
    </xf>
    <xf numFmtId="0" fontId="41" fillId="9" borderId="2" applyAlignment="1" pivotButton="0" quotePrefix="0" xfId="0">
      <alignment horizontal="center" vertical="center" wrapText="1"/>
    </xf>
    <xf numFmtId="0" fontId="44" fillId="0" borderId="0" applyAlignment="1" applyProtection="1" pivotButton="0" quotePrefix="0" xfId="0">
      <alignment vertical="center" wrapText="1"/>
      <protection locked="0" hidden="0"/>
    </xf>
    <xf numFmtId="0" fontId="43" fillId="0" borderId="0" pivotButton="0" quotePrefix="0" xfId="0"/>
    <xf numFmtId="0" fontId="46" fillId="0" borderId="8" applyAlignment="1" pivotButton="0" quotePrefix="0" xfId="0">
      <alignment vertical="center" wrapText="1"/>
    </xf>
    <xf numFmtId="0" fontId="44" fillId="15" borderId="0" applyAlignment="1" pivotButton="0" quotePrefix="0" xfId="0">
      <alignment vertical="center" wrapText="1"/>
    </xf>
    <xf numFmtId="0" fontId="41" fillId="15" borderId="2" applyAlignment="1" pivotButton="0" quotePrefix="0" xfId="0">
      <alignment horizontal="center" vertical="center" wrapText="1"/>
    </xf>
    <xf numFmtId="0" fontId="43" fillId="14" borderId="0" applyAlignment="1" pivotButton="0" quotePrefix="0" xfId="0">
      <alignment horizontal="left" vertical="top" wrapText="1"/>
    </xf>
    <xf numFmtId="0" fontId="43" fillId="0" borderId="0" applyAlignment="1" pivotButton="0" quotePrefix="0" xfId="0">
      <alignment horizontal="left" vertical="top" wrapText="1"/>
    </xf>
  </cellXfs>
  <cellStyles count="1">
    <cellStyle name="Normal" xfId="0" builtinId="0"/>
  </cellStyles>
  <dxfs count="5">
    <dxf>
      <font>
        <b val="1"/>
        <color rgb="00000000"/>
      </font>
      <fill>
        <patternFill>
          <bgColor rgb="FFFFF1E7"/>
        </patternFill>
      </fill>
    </dxf>
    <dxf>
      <font>
        <b val="1"/>
        <color rgb="00000000"/>
      </font>
      <fill>
        <patternFill>
          <bgColor rgb="FFE8F3F0"/>
        </patternFill>
      </fill>
    </dxf>
    <dxf>
      <font>
        <b val="1"/>
        <color rgb="FFC62828"/>
      </font>
      <fill>
        <patternFill>
          <bgColor rgb="FFFFF1E7"/>
        </patternFill>
      </fill>
    </dxf>
    <dxf>
      <font>
        <b val="1"/>
        <color rgb="FF1B7F5A"/>
      </font>
      <fill>
        <patternFill>
          <bgColor rgb="FFE8F3F0"/>
        </patternFill>
      </fill>
    </dxf>
    <dxf>
      <font>
        <b val="1"/>
        <color rgb="FFC62828"/>
      </font>
      <fill>
        <patternFill>
          <bgColor rgb="FFFFF1E7"/>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xl/worksheets/sheet3.xml"/><Relationship Id="rId7" Type="http://schemas.openxmlformats.org/officeDocument/2006/relationships/styles" Target="styles.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worksheet" Target="/xl/worksheets/sheet6.xml"/><Relationship Id="rId11" Type="http://schemas.openxmlformats.org/officeDocument/2006/relationships/customXml" Target="../customXml/item3.xml"/><Relationship Id="rId5" Type="http://schemas.openxmlformats.org/officeDocument/2006/relationships/worksheet" Target="/xl/worksheets/sheet5.xml"/><Relationship Id="rId10" Type="http://schemas.openxmlformats.org/officeDocument/2006/relationships/customXml" Target="../customXml/item2.xml"/><Relationship Id="rId4" Type="http://schemas.openxmlformats.org/officeDocument/2006/relationships/worksheet" Target="/xl/worksheets/sheet4.xml"/><Relationship Id="rId9" Type="http://schemas.openxmlformats.org/officeDocument/2006/relationships/customXml" Target="../customXml/item1.xml"/></Relationships>
</file>

<file path=xl/comments/comment1.xml><?xml version="1.0" encoding="utf-8"?>
<comments xmlns="http://schemas.openxmlformats.org/spreadsheetml/2006/main">
  <authors>
    <author>InPACTA - controle documental</author>
  </authors>
  <commentList>
    <comment ref="H10" authorId="0" shapeId="0">
      <text>
        <t>Salvaguarda já prevista nos Anexos I e V; S2 P-04 Consolidacao F1.</t>
      </text>
    </comment>
    <comment ref="H30" authorId="0" shapeId="0">
      <text>
        <t>Instruções, regra 6; Anexo I 7.7; S2 P-02. Mantida a transcrição da coluna C. Consolidacao F1.</t>
      </text>
    </comment>
    <comment ref="F35" authorId="0" shapeId="0">
      <text>
        <t>Parecer C-8; natureza complementar do RF-C-028; Anexo II 15 Consolidacao F1.</t>
      </text>
    </comment>
    <comment ref="G35" authorId="0" shapeId="0">
      <text>
        <t>Parecer C-8; Anexo II 15 Consolidacao F1.</t>
      </text>
    </comment>
    <comment ref="H35" authorId="0" shapeId="0">
      <text>
        <t>Parecer C-8; Anexo I 17.7.1 Consolidacao F1.</t>
      </text>
    </comment>
    <comment ref="I35" authorId="0" shapeId="0">
      <text>
        <t>Parecer C-8; Anexo I 17.7.1 Consolidacao F1.</t>
      </text>
    </comment>
  </commentList>
</comments>
</file>

<file path=xl/tables/table1.xml><?xml version="1.0" encoding="utf-8"?>
<table xmlns="http://schemas.openxmlformats.org/spreadsheetml/2006/main" id="1" name="RequisitosFuncionais" displayName="RequisitosFuncionais" ref="A6:Q72" headerRowCount="1" totalsRowShown="0">
  <autoFilter ref="A6:Q72"/>
  <tableColumns count="17">
    <tableColumn id="1" name="Código"/>
    <tableColumn id="2" name="Eixo"/>
    <tableColumn id="3" name="Requisito"/>
    <tableColumn id="4" name="Natureza"/>
    <tableColumn id="5" name="Peso máximo"/>
    <tableColumn id="6" name="Comprovação mínima"/>
    <tableColumn id="7" name="Fase"/>
    <tableColumn id="8" name="Critério de suficiência"/>
    <tableColumn id="9" name="Consequência"/>
    <tableColumn id="10" name="Situação"/>
    <tableColumn id="11" name="Documento / evidência"/>
    <tableColumn id="12" name="Página / seção"/>
    <tableColumn id="13" name="Módulo / licença"/>
    <tableColumn id="14" name="Cenário / validação"/>
    <tableColumn id="15" name="Pontos atribuídos"/>
    <tableColumn id="16" name="Pontos validados"/>
    <tableColumn id="17" name="Observação técnica"/>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FF001A33"/>
    <outlinePr summaryBelow="1" summaryRight="1"/>
    <pageSetUpPr/>
  </sheetPr>
  <dimension ref="A1:H29"/>
  <sheetViews>
    <sheetView showGridLines="0" workbookViewId="0">
      <selection activeCell="A1" sqref="A1:H1"/>
    </sheetView>
  </sheetViews>
  <sheetFormatPr baseColWidth="8" defaultRowHeight="14.15"/>
  <cols>
    <col width="8" customWidth="1" style="37" min="1" max="1"/>
    <col width="88" customWidth="1" style="37" min="2" max="2"/>
    <col width="10" customWidth="1" style="37" min="3" max="8"/>
  </cols>
  <sheetData>
    <row r="1" ht="30" customHeight="1" s="37">
      <c r="A1" s="64" t="inlineStr">
        <is>
          <t>ANEXO III · PLANILHA DE QUALIFICAÇÃO TÉCNICA — REQUISITOS FUNCIONAIS E POC</t>
        </is>
      </c>
      <c r="B1" s="33" t="n"/>
      <c r="C1" s="33" t="n"/>
      <c r="D1" s="33" t="n"/>
      <c r="E1" s="33" t="n"/>
      <c r="F1" s="33" t="n"/>
      <c r="G1" s="33" t="n"/>
      <c r="H1" s="34" t="n"/>
    </row>
    <row r="2" ht="28.2" customHeight="1" s="37">
      <c r="A2" s="65" t="inlineStr">
        <is>
          <t>PROCESSO ADMINISTRATIVO 006/2026 · SOLUÇÃO INTEGRADA PARA CIBERSEGURANÇA</t>
        </is>
      </c>
      <c r="B2" s="33" t="n"/>
      <c r="C2" s="33" t="n"/>
      <c r="D2" s="33" t="n"/>
      <c r="E2" s="33" t="n"/>
      <c r="F2" s="33" t="n"/>
      <c r="G2" s="33" t="n"/>
      <c r="H2" s="34" t="n"/>
    </row>
    <row r="3" ht="26" customHeight="1" s="37">
      <c r="A3" s="122" t="n"/>
    </row>
    <row r="4" ht="8.050000000000001" customHeight="1" s="37">
      <c r="A4" s="66" t="n"/>
      <c r="B4" s="66" t="n"/>
      <c r="C4" s="66" t="n"/>
      <c r="D4" s="66" t="n"/>
      <c r="E4" s="66" t="n"/>
      <c r="F4" s="66" t="n"/>
      <c r="G4" s="66" t="n"/>
      <c r="H4" s="66" t="n"/>
    </row>
    <row r="5" ht="8.050000000000001" customHeight="1" s="37">
      <c r="A5" s="66" t="n"/>
      <c r="B5" s="66" t="n"/>
      <c r="C5" s="66" t="n"/>
      <c r="D5" s="66" t="n"/>
      <c r="E5" s="66" t="n"/>
      <c r="F5" s="66" t="n"/>
      <c r="G5" s="66" t="n"/>
      <c r="H5" s="66" t="n"/>
    </row>
    <row r="6" ht="8.050000000000001" customHeight="1" s="37">
      <c r="A6" s="66" t="n"/>
      <c r="B6" s="66" t="n"/>
      <c r="C6" s="66" t="n"/>
      <c r="D6" s="66" t="n"/>
      <c r="E6" s="66" t="n"/>
      <c r="F6" s="66" t="n"/>
      <c r="G6" s="66" t="n"/>
      <c r="H6" s="66" t="n"/>
    </row>
    <row r="7" ht="8.050000000000001" customHeight="1" s="37">
      <c r="A7" s="66" t="n"/>
      <c r="B7" s="66" t="n"/>
      <c r="C7" s="66" t="n"/>
      <c r="D7" s="66" t="n"/>
      <c r="E7" s="66" t="n"/>
      <c r="F7" s="66" t="n"/>
      <c r="G7" s="66" t="n"/>
      <c r="H7" s="66" t="n"/>
    </row>
    <row r="8" ht="8.050000000000001" customHeight="1" s="37">
      <c r="A8" s="66" t="n"/>
      <c r="B8" s="66" t="n"/>
      <c r="C8" s="66" t="n"/>
      <c r="D8" s="66" t="n"/>
      <c r="E8" s="66" t="n"/>
      <c r="F8" s="66" t="n"/>
      <c r="G8" s="66" t="n"/>
      <c r="H8" s="66" t="n"/>
    </row>
    <row r="9" ht="8.050000000000001" customHeight="1" s="37">
      <c r="A9" s="66" t="n"/>
      <c r="B9" s="66" t="n"/>
      <c r="C9" s="66" t="n"/>
      <c r="D9" s="66" t="n"/>
      <c r="E9" s="66" t="n"/>
      <c r="F9" s="66" t="n"/>
      <c r="G9" s="66" t="n"/>
      <c r="H9" s="66" t="n"/>
    </row>
    <row r="10" ht="28.2" customHeight="1" s="37">
      <c r="A10" s="67" t="inlineStr">
        <is>
          <t>REGRAS DE PREENCHIMENTO E JULGAMENTO</t>
        </is>
      </c>
      <c r="B10" s="33" t="n"/>
      <c r="C10" s="33" t="n"/>
      <c r="D10" s="33" t="n"/>
      <c r="E10" s="33" t="n"/>
      <c r="F10" s="33" t="n"/>
      <c r="G10" s="33" t="n"/>
      <c r="H10" s="34" t="n"/>
    </row>
    <row r="11" ht="110.1" customHeight="1" s="37">
      <c r="A11" s="68" t="inlineStr">
        <is>
          <t>1.</t>
        </is>
      </c>
      <c r="B11" s="110" t="inlineStr">
        <is>
          <t>A interessada preenche situação declarada (R), documento/evidência (K), página/seção (L) e módulo/licença (M). A Comissão registra conclusão em J, teste/ocorrência em N, pontos em O, fundamento em Q e os controles de julgamento. Declaração não equivale a comprovação.</t>
        </is>
      </c>
      <c r="C11" s="66" t="n"/>
      <c r="D11" s="66" t="n"/>
      <c r="E11" s="66" t="n"/>
      <c r="F11" s="66" t="n"/>
      <c r="G11" s="66" t="n"/>
      <c r="H11" s="66" t="n"/>
    </row>
    <row r="12" ht="60.3" customHeight="1" s="37">
      <c r="A12" s="68" t="inlineStr">
        <is>
          <t>2.</t>
        </is>
      </c>
      <c r="B12" s="69" t="inlineStr">
        <is>
          <t>O não atendimento de requisito eliminatório reprova a proposta, independentemente da pontuação total.</t>
        </is>
      </c>
      <c r="C12" s="66" t="n"/>
      <c r="D12" s="66" t="n"/>
      <c r="E12" s="66" t="n"/>
      <c r="F12" s="66" t="n"/>
      <c r="G12" s="66" t="n"/>
      <c r="H12" s="66" t="n"/>
    </row>
    <row r="13" ht="80.40000000000001" customHeight="1" s="37">
      <c r="A13" s="68" t="inlineStr">
        <is>
          <t>3.</t>
        </is>
      </c>
      <c r="B13" s="69" t="inlineStr">
        <is>
          <t>A pontuação mínima é de 70 pontos, sem compensação com a outra matriz. Superado o corte, a nota funcional contribui com até 60 pontos para o VTI pela fórmula NF × 0,60.</t>
        </is>
      </c>
      <c r="C13" s="66" t="n"/>
      <c r="D13" s="66" t="n"/>
      <c r="E13" s="66" t="n"/>
      <c r="F13" s="66" t="n"/>
      <c r="G13" s="66" t="n"/>
      <c r="H13" s="66" t="n"/>
    </row>
    <row r="14" ht="111.6" customHeight="1" s="37">
      <c r="A14" s="68" t="inlineStr">
        <is>
          <t>4.</t>
        </is>
      </c>
      <c r="B14" s="110" t="inlineStr">
        <is>
          <t>RF-E-009/015/029/030: comprovar capacidade para suportar os quantitativos de referência indicados, sem aceitar capacidade inferior por leitura da expressão até. Não se exige consumo ou mobilização mínima do CLIENTE nem carga integral da PoC, salvo teste expresso aprovado.</t>
        </is>
      </c>
      <c r="C14" s="66" t="n"/>
      <c r="D14" s="66" t="n"/>
      <c r="E14" s="66" t="n"/>
      <c r="F14" s="66" t="n"/>
      <c r="G14" s="66" t="n"/>
      <c r="H14" s="66" t="n"/>
    </row>
    <row r="15" ht="110.1" customHeight="1" s="37">
      <c r="A15" s="68" t="inlineStr">
        <is>
          <t>5.</t>
        </is>
      </c>
      <c r="B15" s="70" t="inlineStr">
        <is>
          <t>A PoC ocorrerá após o resultado técnico documental e os recursos da fase, com preparação mínima de cinco dias úteis e amostra representativa, conforme roteiro aprovado e divulgado com o Edital. A ordem considerará revisões motivadas previstas nos itens 25.6 e 26.3.1.</t>
        </is>
      </c>
      <c r="C15" s="66" t="n"/>
      <c r="D15" s="66" t="n"/>
      <c r="E15" s="66" t="n"/>
      <c r="F15" s="66" t="n"/>
      <c r="G15" s="66" t="n"/>
      <c r="H15" s="66" t="n"/>
    </row>
    <row r="16" ht="85.19999999999999" customHeight="1" s="37">
      <c r="A16" s="68" t="inlineStr">
        <is>
          <t>6.</t>
        </is>
      </c>
      <c r="B16" s="69" t="inlineStr">
        <is>
          <t>Requisitos tecnológicos admitem solução e evidência materialmente equivalentes; limiares de bases, fontes ou histórico sem justificativa autônoma não operam como mínimos eliminatórios.</t>
        </is>
      </c>
      <c r="C16" s="66" t="n"/>
      <c r="D16" s="66" t="n"/>
      <c r="E16" s="66" t="n"/>
      <c r="F16" s="66" t="n"/>
      <c r="G16" s="66" t="n"/>
      <c r="H16" s="66" t="n"/>
    </row>
    <row r="17" ht="74.09999999999999" customHeight="1" s="37">
      <c r="A17" s="68" t="inlineStr">
        <is>
          <t>7.</t>
        </is>
      </c>
      <c r="B17" s="69" t="inlineStr">
        <is>
          <t>A planilha integra a seleção técnico-institucional pelo VTI. Não há proposta, qualificação, pontuação, desempate ou validação econômico-financeira.</t>
        </is>
      </c>
      <c r="C17" s="66" t="n"/>
      <c r="D17" s="66" t="n"/>
      <c r="E17" s="66" t="n"/>
      <c r="F17" s="66" t="n"/>
      <c r="G17" s="66" t="n"/>
      <c r="H17" s="66" t="n"/>
    </row>
    <row r="18" ht="83.09999999999999" customHeight="1" s="37">
      <c r="A18" s="68" t="n">
        <v>8</v>
      </c>
      <c r="B18" s="69" t="inlineStr">
        <is>
          <t>A matriz possui 42 RF-E eliminatórios, 1 RF-C-028 complementar de peso zero e 23 RF-P pontuáveis. A ausência de reconhecimento por instituição específica não elimina a proposta.</t>
        </is>
      </c>
      <c r="C18" s="71" t="n"/>
      <c r="D18" s="71" t="n"/>
      <c r="E18" s="71" t="n"/>
      <c r="F18" s="71" t="n"/>
      <c r="G18" s="71" t="n"/>
      <c r="H18" s="71" t="n"/>
    </row>
    <row r="19">
      <c r="A19" s="71" t="n"/>
      <c r="B19" s="71" t="n"/>
      <c r="C19" s="71" t="n"/>
      <c r="D19" s="71" t="n"/>
      <c r="E19" s="71" t="n"/>
      <c r="F19" s="71" t="n"/>
      <c r="G19" s="71" t="n"/>
      <c r="H19" s="71" t="n"/>
    </row>
    <row r="20" ht="103.5" customHeight="1" s="37">
      <c r="A20" s="68" t="inlineStr">
        <is>
          <t>9.</t>
        </is>
      </c>
      <c r="B20" s="69" t="inlineStr">
        <is>
          <t>Pontuação: atendimento integral comprovado recebe o peso. Nos RF-P, a gradação expressa permite soma dos subitens comprovados, com os pesos originais. No RCO, sem gradação expressa, parcial não pontua. Consulte a aba Controle antes do resultado.</t>
        </is>
      </c>
      <c r="C20" s="71" t="n"/>
      <c r="D20" s="71" t="n"/>
      <c r="E20" s="71" t="n"/>
      <c r="F20" s="71" t="n"/>
      <c r="G20" s="71" t="n"/>
      <c r="H20" s="71" t="n"/>
    </row>
    <row r="21" ht="91.5" customHeight="1" s="37">
      <c r="A21" s="68" t="inlineStr">
        <is>
          <t>10.</t>
        </is>
      </c>
      <c r="B21" s="69" t="inlineStr">
        <is>
          <t>As células de cálculo estão protegidas contra edição acidental, sem senha. Os campos de avaliação permanecem editáveis. A proteção não substitui validação humana nem impede alteração deliberada do arquivo.</t>
        </is>
      </c>
      <c r="C21" s="71" t="n"/>
      <c r="D21" s="71" t="n"/>
      <c r="E21" s="71" t="n"/>
      <c r="F21" s="71" t="n"/>
      <c r="G21" s="71" t="n"/>
      <c r="H21" s="71" t="n"/>
    </row>
    <row r="22" ht="137.1" customHeight="1" s="37">
      <c r="A22" s="72" t="inlineStr">
        <is>
          <t>11.</t>
        </is>
      </c>
      <c r="B22" s="110" t="inlineStr">
        <is>
          <t>A confirmação documental e a PoC observarão o item 25.6 e seus subitens do Edital. Revisão de pontos materialmente infirmados depende de decisão motivada e de manifestação e recursos previstos, sem pontos adicionais. Preservar a matriz anterior e registrar a decisão, os pontos afetados e o resultado reapurado; pesos, cortes e fórmulas permanecem inalterados.</t>
        </is>
      </c>
      <c r="C22" s="71" t="n"/>
      <c r="D22" s="71" t="n"/>
      <c r="E22" s="71" t="n"/>
      <c r="F22" s="71" t="n"/>
      <c r="G22" s="71" t="n"/>
      <c r="H22" s="71" t="n"/>
    </row>
    <row r="23" ht="113.4" customHeight="1" s="37">
      <c r="A23" s="72" t="inlineStr">
        <is>
          <t>12.</t>
        </is>
      </c>
      <c r="B23" s="110" t="inlineStr">
        <is>
          <t>Os Anexos III e IV deverão ser juntados individualmente ao processo, com identificação e comprovação de integridade, preservados os documentos efetivamente examinados pela PJINPACTA. O conjunto documental depende de apreciação jurídica e decisão competente antes da publicação.</t>
        </is>
      </c>
      <c r="C23" s="71" t="n"/>
      <c r="D23" s="71" t="n"/>
      <c r="E23" s="71" t="n"/>
      <c r="F23" s="71" t="n"/>
      <c r="G23" s="71" t="n"/>
      <c r="H23" s="71" t="n"/>
    </row>
    <row r="24" ht="126.3636363636364" customHeight="1" s="37">
      <c r="A24" s="111" t="inlineStr">
        <is>
          <t>13.</t>
        </is>
      </c>
      <c r="B24" s="110" t="inlineStr">
        <is>
          <t>Configuração, parametrização ou integração documentada na solução ofertada equivalem a atendimento integral quando todos os elementos estiverem comprovados no marco exigível. A Comissão normaliza o resultado em J; a declaração original permanece em R. Não basta promessa futura.</t>
        </is>
      </c>
      <c r="C24" s="112" t="n"/>
      <c r="D24" s="112" t="n"/>
      <c r="E24" s="112" t="n"/>
      <c r="F24" s="112" t="n"/>
      <c r="G24" s="112" t="n"/>
      <c r="H24" s="113" t="n"/>
    </row>
    <row r="25" ht="139.5454545454545" customHeight="1" s="37">
      <c r="A25" s="111" t="inlineStr">
        <is>
          <t>14.</t>
        </is>
      </c>
      <c r="B25" s="110" t="inlineStr">
        <is>
          <t>Atende com ressalva: registrar atendimento integral apenas se a ressalva for formal e não houver lacuna material; parcial permanece parcial. Não aplicável ou pendente de diligência: registrar em N/Q e manter J em aberto até conclusão, sem dispensar requisito incondicional ou alterar peso. Ver Anexo V, 7.6.</t>
        </is>
      </c>
      <c r="C25" s="112" t="n"/>
      <c r="D25" s="112" t="n"/>
      <c r="E25" s="112" t="n"/>
      <c r="F25" s="112" t="n"/>
      <c r="G25" s="112" t="n"/>
      <c r="H25" s="113" t="n"/>
    </row>
    <row r="26" ht="137.2727272727273" customHeight="1" s="37">
      <c r="A26" s="111" t="inlineStr">
        <is>
          <t>15.</t>
        </is>
      </c>
      <c r="B26" s="110" t="inlineStr">
        <is>
          <t>A Comissão julga em cópia-mestra própria da planilha oficial. Replica somente as entradas da interessada e confere a documentação; pontos e resultados são da Comissão. Arquivos recebidos são preservados, sem confiar em suas fórmulas alteráveis. Divergência estrutural recebe o tratamento do Edital, 19.8.</t>
        </is>
      </c>
      <c r="C26" s="112" t="n"/>
      <c r="D26" s="112" t="n"/>
      <c r="E26" s="112" t="n"/>
      <c r="F26" s="112" t="n"/>
      <c r="G26" s="112" t="n"/>
      <c r="H26" s="113" t="n"/>
    </row>
    <row r="27" ht="123.1818181818182" customHeight="1" s="37">
      <c r="A27" s="111" t="inlineStr">
        <is>
          <t>16.</t>
        </is>
      </c>
      <c r="B27" s="110" t="inlineStr">
        <is>
          <t>Os registros internos de elaboração não integram as matrizes destinadas à divulgação. A proteção sem senha evita erro acidental, mas não garante inviolabilidade. O hash do arquivo preenchido não deve ser confundido com o hash do modelo vazio; conferir estrutura, fórmulas e identificação da matriz oficial.</t>
        </is>
      </c>
      <c r="C27" s="112" t="n"/>
      <c r="D27" s="112" t="n"/>
      <c r="E27" s="112" t="n"/>
      <c r="F27" s="112" t="n"/>
      <c r="G27" s="112" t="n"/>
      <c r="H27" s="113" t="n"/>
    </row>
    <row r="28" ht="141.8181818181818" customHeight="1" s="37">
      <c r="A28" s="111" t="inlineStr">
        <is>
          <t>17.</t>
        </is>
      </c>
      <c r="B28" s="110" t="inlineStr">
        <is>
          <t>A NF documental depende de evidência verificável por subitem, não de teste futuro presumido. A aba Subitens RF-P deve ser preenchida pela Comissão; seus pontos são somados em O. Registrar a fase em Resumo. A revisão após PoC não acrescenta pontos, preserva o histórico e depende da disciplina aprovada do Edital.</t>
        </is>
      </c>
      <c r="C28" s="112" t="n"/>
      <c r="D28" s="112" t="n"/>
      <c r="E28" s="112" t="n"/>
      <c r="F28" s="112" t="n"/>
      <c r="G28" s="112" t="n"/>
      <c r="H28" s="113" t="n"/>
    </row>
    <row r="29" ht="130.9090909090909" customHeight="1" s="37">
      <c r="A29" s="111" t="inlineStr">
        <is>
          <t>18.</t>
        </is>
      </c>
      <c r="B29" s="110" t="inlineStr">
        <is>
          <t>O método e a amostra da PoC devem ser aprovados e divulgados antes da publicação, iguais para todas as convocadas. Subitem não testado conserva apenas a prova documental válida; não se presume confirmação prática. A escolha metodológica depende de ato competente, conforme o Edital, 34.3.</t>
        </is>
      </c>
      <c r="C29" s="112" t="n"/>
      <c r="D29" s="112" t="n"/>
      <c r="E29" s="112" t="n"/>
      <c r="F29" s="112" t="n"/>
      <c r="G29" s="112" t="n"/>
      <c r="H29" s="113" t="n"/>
    </row>
  </sheetData>
  <mergeCells count="10">
    <mergeCell ref="A3:H3"/>
    <mergeCell ref="B26:H26"/>
    <mergeCell ref="B27:H27"/>
    <mergeCell ref="A2:H2"/>
    <mergeCell ref="A10:H10"/>
    <mergeCell ref="B24:H24"/>
    <mergeCell ref="B29:H29"/>
    <mergeCell ref="B25:H25"/>
    <mergeCell ref="A1:H1"/>
    <mergeCell ref="B28:H28"/>
  </mergeCells>
  <pageMargins left="0.7" right="0.7" top="0.75" bottom="0.75" header="0.3" footer="0.3"/>
</worksheet>
</file>

<file path=xl/worksheets/sheet2.xml><?xml version="1.0" encoding="utf-8"?>
<worksheet xmlns="http://schemas.openxmlformats.org/spreadsheetml/2006/main">
  <sheetPr>
    <tabColor rgb="FF001A33"/>
    <outlinePr summaryBelow="1" summaryRight="1"/>
    <pageSetUpPr/>
  </sheetPr>
  <dimension ref="A1:R72"/>
  <sheetViews>
    <sheetView showGridLines="0" tabSelected="1" workbookViewId="0">
      <pane xSplit="2" ySplit="6" topLeftCell="C8" activePane="bottomRight" state="frozen"/>
      <selection pane="topRight" activeCell="A1" sqref="A1"/>
      <selection pane="bottomLeft" activeCell="A1" sqref="A1"/>
      <selection pane="bottomRight" activeCell="E7" sqref="E7"/>
    </sheetView>
  </sheetViews>
  <sheetFormatPr baseColWidth="8" defaultRowHeight="14.15"/>
  <cols>
    <col width="14" customWidth="1" style="37" min="1" max="1"/>
    <col width="24" customWidth="1" style="37" min="2" max="2"/>
    <col width="52" customWidth="1" style="37" min="3" max="3"/>
    <col width="22" customWidth="1" style="37" min="4" max="4"/>
    <col width="12" customWidth="1" style="37" min="5" max="5"/>
    <col width="42" customWidth="1" style="37" min="6" max="6"/>
    <col width="34" customWidth="1" style="37" min="7" max="7"/>
    <col width="42" customWidth="1" style="37" min="8" max="8"/>
    <col width="34" customWidth="1" style="37" min="9" max="9"/>
    <col width="20" customWidth="1" style="37" min="10" max="10"/>
    <col width="28" customWidth="1" style="37" min="11" max="11"/>
    <col width="15" customWidth="1" style="37" min="12" max="12"/>
    <col width="18" customWidth="1" style="37" min="13" max="13"/>
    <col width="20" customWidth="1" style="37" min="14" max="14"/>
    <col width="15" customWidth="1" style="37" min="15" max="16"/>
    <col width="30" customWidth="1" style="37" min="17" max="17"/>
    <col width="34" customWidth="1" style="37" min="18" max="18"/>
  </cols>
  <sheetData>
    <row r="1" ht="30" customHeight="1" s="37">
      <c r="A1" s="64" t="inlineStr">
        <is>
          <t>ANEXO III · REQUISITOS FUNCIONAIS E PROVA DE CONCEITO</t>
        </is>
      </c>
      <c r="B1" s="33" t="n"/>
      <c r="C1" s="33" t="n"/>
      <c r="D1" s="33" t="n"/>
      <c r="E1" s="33" t="n"/>
      <c r="F1" s="33" t="n"/>
      <c r="G1" s="33" t="n"/>
      <c r="H1" s="33" t="n"/>
      <c r="I1" s="33" t="n"/>
      <c r="J1" s="33" t="n"/>
      <c r="K1" s="33" t="n"/>
      <c r="L1" s="33" t="n"/>
      <c r="M1" s="33" t="n"/>
      <c r="N1" s="33" t="n"/>
      <c r="O1" s="33" t="n"/>
      <c r="P1" s="33" t="n"/>
      <c r="Q1" s="34" t="n"/>
    </row>
    <row r="2" ht="28.2" customHeight="1" s="37">
      <c r="A2" s="65" t="inlineStr">
        <is>
          <t>PROCESSO ADMINISTRATIVO 006/2026 · SOLUÇÃO INTEGRADA PARA CIBERSEGURANÇA</t>
        </is>
      </c>
      <c r="B2" s="33" t="n"/>
      <c r="C2" s="33" t="n"/>
      <c r="D2" s="33" t="n"/>
      <c r="E2" s="33" t="n"/>
      <c r="F2" s="33" t="n"/>
      <c r="G2" s="33" t="n"/>
      <c r="H2" s="33" t="n"/>
      <c r="I2" s="33" t="n"/>
      <c r="J2" s="33" t="n"/>
      <c r="K2" s="33" t="n"/>
      <c r="L2" s="33" t="n"/>
      <c r="M2" s="33" t="n"/>
      <c r="N2" s="33" t="n"/>
      <c r="O2" s="33" t="n"/>
      <c r="P2" s="33" t="n"/>
      <c r="Q2" s="34" t="n"/>
    </row>
    <row r="3" ht="8.050000000000001" customHeight="1" s="37">
      <c r="A3" s="66" t="n"/>
    </row>
    <row r="4" ht="8.050000000000001" customHeight="1" s="37">
      <c r="A4" s="66" t="n"/>
      <c r="B4" s="66" t="n"/>
      <c r="C4" s="66" t="n"/>
      <c r="D4" s="66" t="n"/>
      <c r="E4" s="66" t="n"/>
      <c r="F4" s="66" t="n"/>
      <c r="G4" s="66" t="n"/>
      <c r="H4" s="66" t="n"/>
      <c r="I4" s="66" t="n"/>
      <c r="J4" s="66" t="n"/>
      <c r="K4" s="66" t="n"/>
      <c r="L4" s="66" t="n"/>
      <c r="M4" s="66" t="n"/>
      <c r="N4" s="66" t="n"/>
      <c r="O4" s="66" t="n"/>
      <c r="P4" s="66" t="n"/>
      <c r="Q4" s="66" t="n"/>
    </row>
    <row r="5" ht="8.050000000000001" customHeight="1" s="37">
      <c r="A5" s="66" t="n"/>
    </row>
    <row r="6" ht="46.4" customHeight="1" s="37">
      <c r="A6" s="73" t="inlineStr">
        <is>
          <t>Código</t>
        </is>
      </c>
      <c r="B6" s="73" t="inlineStr">
        <is>
          <t>Eixo</t>
        </is>
      </c>
      <c r="C6" s="73" t="inlineStr">
        <is>
          <t>Requisito</t>
        </is>
      </c>
      <c r="D6" s="73" t="inlineStr">
        <is>
          <t>Natureza</t>
        </is>
      </c>
      <c r="E6" s="73" t="inlineStr">
        <is>
          <t>Peso máximo</t>
        </is>
      </c>
      <c r="F6" s="73" t="inlineStr">
        <is>
          <t>Comprovação mínima</t>
        </is>
      </c>
      <c r="G6" s="73" t="inlineStr">
        <is>
          <t>Fase</t>
        </is>
      </c>
      <c r="H6" s="73" t="inlineStr">
        <is>
          <t>Critério de suficiência</t>
        </is>
      </c>
      <c r="I6" s="73" t="inlineStr">
        <is>
          <t>Consequência</t>
        </is>
      </c>
      <c r="J6" s="123" t="inlineStr">
        <is>
          <t>Resultado da Comissão</t>
        </is>
      </c>
      <c r="K6" s="73" t="inlineStr">
        <is>
          <t>Documento / evidência</t>
        </is>
      </c>
      <c r="L6" s="73" t="inlineStr">
        <is>
          <t>Página / seção</t>
        </is>
      </c>
      <c r="M6" s="73" t="inlineStr">
        <is>
          <t>Módulo / licença</t>
        </is>
      </c>
      <c r="N6" s="123" t="inlineStr">
        <is>
          <t>Cenário / resultado processual</t>
        </is>
      </c>
      <c r="O6" s="73" t="inlineStr">
        <is>
          <t>Pontos atribuídos</t>
        </is>
      </c>
      <c r="P6" s="73" t="inlineStr">
        <is>
          <t>Pontos validados</t>
        </is>
      </c>
      <c r="Q6" s="73" t="inlineStr">
        <is>
          <t>Observação técnica</t>
        </is>
      </c>
      <c r="R6" s="123" t="inlineStr">
        <is>
          <t>Situação declarada pela interessada</t>
        </is>
      </c>
    </row>
    <row r="7" ht="337.65" customHeight="1" s="37">
      <c r="A7" s="74" t="inlineStr">
        <is>
          <t>RF-E-001</t>
        </is>
      </c>
      <c r="B7" s="75" t="inlineStr">
        <is>
          <t>Modelo de prestação</t>
        </is>
      </c>
      <c r="C7" s="75" t="inlineStr">
        <is>
          <t>- Relatório de identificação de vulnerabilidades reais: consolidando todas as vulnerabilidades identificadas no período, com descrição técnica, classificação por severidade e evidências de exploração.
- Relatório de avaliação de impacto e risco: apresentando a análise do impacto potencial de cada vulnerabilidade identificada no ambiente do InPACTA/Cliente, com priorização baseada em risco real e contextualizado.
- Relatório de acompanhamento de correções: registrando o status de remediação de cada vulnerabilidade apontada nos ciclos anteriores, com validação das correções implementadas e atualização do perfil de risco.</t>
        </is>
      </c>
      <c r="D7" s="76" t="inlineStr">
        <is>
          <t>Obrigatório / Eliminatório</t>
        </is>
      </c>
      <c r="E7" s="77" t="n">
        <v>0</v>
      </c>
      <c r="F7" s="115" t="inlineStr">
        <is>
          <t>Fase documental: documentação técnica e evidências verificáveis da capacidade disponível, identificando subitem, versão, componente e licença; não basta declaração. Confirmação na PoC, se convocado: Teste prático.
Ref.: Anexo I, itens 4.1 e 4.7.</t>
        </is>
      </c>
      <c r="G7" s="115" t="inlineStr">
        <is>
          <t>Avaliação documental para NF/VTI; PoC posterior da convocada, na amostra comum aprovada.</t>
        </is>
      </c>
      <c r="H7" s="75" t="inlineStr">
        <is>
          <t>Todos os subitens do bloco deverão ser comprovados; cada subitem conserva natureza eliminatória autônoma.</t>
        </is>
      </c>
      <c r="I7" s="115" t="inlineStr">
        <is>
          <t>Não atendimento material de subitem eliminatório reprova na fase cabível; pendência formal deve ser resolvida antes da conclusão.</t>
        </is>
      </c>
      <c r="J7" s="78" t="n"/>
      <c r="K7" s="78" t="n"/>
      <c r="L7" s="78" t="n"/>
      <c r="M7" s="78" t="n"/>
      <c r="N7" s="78" t="n"/>
      <c r="O7" s="79" t="n"/>
      <c r="P7" s="80" t="n">
        <f>IF(AND(J7="Atende integralmente",ISNUMBER(O7),O7=E7),O7,0)</f>
        <v>0</v>
      </c>
      <c r="Q7" s="81" t="n"/>
      <c r="R7" s="78" t="n"/>
    </row>
    <row r="8" ht="374.05" customHeight="1" s="37">
      <c r="A8" s="68" t="inlineStr">
        <is>
          <t>RF-E-002</t>
        </is>
      </c>
      <c r="B8" s="69" t="inlineStr">
        <is>
          <t>Testes de intrusão (Pentest)</t>
        </is>
      </c>
      <c r="C8" s="69" t="inlineStr">
        <is>
          <t>- Relatório de identificação de superfícies de ataque: mapeamento completo dos vetores e pontos de entrada identificados nos ativos avaliados, incluindo serviços expostos, tecnologias em uso e configurações relevantes.
- Relatório de validação de vulnerabilidades exploráveis: documentação técnica das vulnerabilidades confirmadas como exploráveis no ambiente do InPACTA/Cliente, com evidências, classificação por severidade e referências a bases de vulnerabilidades reconhecidas (CVE, CVSS).
- Relatório de avaliação do impacto real no ambiente: análise do impacto potencial de cada vulnerabilidade explorada ou explorável, considerando a criticidade dos sistemas afetados, os dados em risco e os possíveis desdobramentos operacionais e reputacionais.</t>
        </is>
      </c>
      <c r="D8" s="82" t="inlineStr">
        <is>
          <t>Obrigatório / Eliminatório</t>
        </is>
      </c>
      <c r="E8" s="83" t="n">
        <v>0</v>
      </c>
      <c r="F8" s="110" t="inlineStr">
        <is>
          <t>Fase documental: documentação técnica e evidências verificáveis da capacidade disponível, identificando subitem, versão, componente e licença; não basta declaração. Confirmação na PoC, se convocado: Teste prático.
Ref.: Anexo I, item 4.2.</t>
        </is>
      </c>
      <c r="G8" s="110" t="inlineStr">
        <is>
          <t>Avaliação documental para NF/VTI; PoC posterior da convocada, na amostra comum aprovada.</t>
        </is>
      </c>
      <c r="H8" s="69" t="inlineStr">
        <is>
          <t>Todos os subitens do bloco deverão ser comprovados; cada subitem conserva natureza eliminatória autônoma.</t>
        </is>
      </c>
      <c r="I8" s="110" t="inlineStr">
        <is>
          <t>Não atendimento material de subitem eliminatório reprova na fase cabível; pendência formal deve ser resolvida antes da conclusão.</t>
        </is>
      </c>
      <c r="J8" s="78" t="n"/>
      <c r="K8" s="78" t="n"/>
      <c r="L8" s="78" t="n"/>
      <c r="M8" s="78" t="n"/>
      <c r="N8" s="78" t="n"/>
      <c r="O8" s="79" t="n"/>
      <c r="P8" s="80" t="n">
        <f>IF(AND(J8="Atende integralmente",ISNUMBER(O8),O8=E8),O8,0)</f>
        <v>0</v>
      </c>
      <c r="Q8" s="84" t="n"/>
      <c r="R8" s="78" t="n"/>
    </row>
    <row r="9" ht="409.5" customHeight="1" s="37">
      <c r="A9" s="74" t="inlineStr">
        <is>
          <t>RF-E-003</t>
        </is>
      </c>
      <c r="B9" s="75" t="inlineStr">
        <is>
          <t>Gestão de vulnerabilidades</t>
        </is>
      </c>
      <c r="C9" s="75" t="inlineStr">
        <is>
          <t>- Realizar varreduras recorrentes de vulnerabilidades nos ativos do InPACTA/Cliente, com periodicidade mínima mensal e cobertura de todos os sistemas em escopo.
- Realizar validação técnica dos achados identificados nas varreduras, confirmando a real explorabilidade de cada vulnerabilidade no contexto do ambiente do InPACTA/Cliente.
-Identificar, classificar e registrar falsos positivos, duplicidades e achados sem impacto relevante, de modo que os relatórios priorizem vulnerabilidades efetivamente verificadas e reduzam esforços desnecessários das equipes técnicas da INPACTA/CLIENTE.
- Priorizar as vulnerabilidades identificadas com base em risco e impacto, considerando a criticidade do ativo afetado, a facilidade de exploração, o impacto potencial e o contexto operacional do InPACTA/Cliente</t>
        </is>
      </c>
      <c r="D9" s="76" t="inlineStr">
        <is>
          <t>Obrigatório / Eliminatório</t>
        </is>
      </c>
      <c r="E9" s="77" t="n">
        <v>0</v>
      </c>
      <c r="F9" s="115" t="inlineStr">
        <is>
          <t>Fase documental: documentação técnica e evidências verificáveis da capacidade disponível, identificando subitem, versão, componente e licença; não basta declaração. Confirmação na PoC, se convocado: Teste prático.
Ref.: Anexo I, item 4.3.</t>
        </is>
      </c>
      <c r="G9" s="115" t="inlineStr">
        <is>
          <t>Avaliação documental para NF/VTI; PoC posterior da convocada, na amostra comum aprovada.</t>
        </is>
      </c>
      <c r="H9" s="75" t="inlineStr">
        <is>
          <t>Todos os subitens do bloco deverão ser comprovados; cada subitem conserva natureza eliminatória autônoma.</t>
        </is>
      </c>
      <c r="I9" s="115" t="inlineStr">
        <is>
          <t>Não atendimento material de subitem eliminatório reprova na fase cabível; pendência formal deve ser resolvida antes da conclusão.</t>
        </is>
      </c>
      <c r="J9" s="78" t="n"/>
      <c r="K9" s="78" t="n"/>
      <c r="L9" s="78" t="n"/>
      <c r="M9" s="78" t="n"/>
      <c r="N9" s="78" t="n"/>
      <c r="O9" s="79" t="n"/>
      <c r="P9" s="80" t="n">
        <f>IF(AND(J9="Atende integralmente",ISNUMBER(O9),O9=E9),O9,0)</f>
        <v>0</v>
      </c>
      <c r="Q9" s="81" t="n"/>
      <c r="R9" s="78" t="n"/>
    </row>
    <row r="10" ht="409.5" customHeight="1" s="37">
      <c r="A10" s="68" t="inlineStr">
        <is>
          <t>RF-E-004</t>
        </is>
      </c>
      <c r="B10" s="69" t="inlineStr">
        <is>
          <t>Descoberta e gestão de superfície de ataque (CTEM)</t>
        </is>
      </c>
      <c r="C10" s="69" t="inlineStr">
        <is>
          <t>- Cobrir fontes publicamente disponíveis com o objetivo de busca de domínios e subdomínios, replicando as técnicas que atacantes utilizariam para reconhecimento.
- Encontrar todos os subdomínios sob um domínio monitorado, incluindo ativos desconhecidos ou não gerenciados.
- Permitir verificações e varreduras ativas controladas exclusivamente sobre FQDNs e endereços IPv4 públicos atribuídos ou formalmente autorizados pela INPACTA/CLIENTE, com níveis e cronogramas configuráveis, inclusive ciclos diários, conforme criticidade e regras de engajamento.
- Fornecer gestão de superfície de ataque externa integrada com inteligência de ameaças cibernéticas e soluções automatizadas de simulação de violação e ataque.
- Permitir que os usuários construam alvos em qualquer ativo exposto à internet e o escaneiem em busca de fraquezas usando scanners passivos e ativos.</t>
        </is>
      </c>
      <c r="D10" s="82" t="inlineStr">
        <is>
          <t>Obrigatório / Eliminatório</t>
        </is>
      </c>
      <c r="E10" s="83" t="n">
        <v>0</v>
      </c>
      <c r="F10"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5.1.</t>
        </is>
      </c>
      <c r="G10" s="110" t="inlineStr">
        <is>
          <t>Avaliação documental para NF/VTI; PoC posterior da convocada, na amostra comum aprovada.</t>
        </is>
      </c>
      <c r="H10" s="69" t="inlineStr">
        <is>
          <t>Todos os subitens do bloco deverão ser comprovados; cada subitem conserva natureza eliminatória autônoma. Os alvos de varredura ficam restritos ao ambiente e ao escopo expressamente autorizados, conforme Anexo I, item 1.7, e Anexo V, itens 5.4 e 5.5.</t>
        </is>
      </c>
      <c r="I10" s="110" t="inlineStr">
        <is>
          <t>Não atendimento material de subitem eliminatório reprova na fase cabível; pendência formal deve ser resolvida antes da conclusão.</t>
        </is>
      </c>
      <c r="J10" s="78" t="n"/>
      <c r="K10" s="78" t="n"/>
      <c r="L10" s="78" t="n"/>
      <c r="M10" s="78" t="n"/>
      <c r="N10" s="78" t="n"/>
      <c r="O10" s="79" t="n"/>
      <c r="P10" s="80" t="n">
        <f>IF(AND(J10="Atende integralmente",ISNUMBER(O10),O10=E10),O10,0)</f>
        <v>0</v>
      </c>
      <c r="Q10" s="84" t="n"/>
      <c r="R10" s="78" t="n"/>
    </row>
    <row r="11" ht="138" customHeight="1" s="37">
      <c r="A11" s="74" t="inlineStr">
        <is>
          <t>RF-E-005</t>
        </is>
      </c>
      <c r="B11" s="75" t="inlineStr">
        <is>
          <t>Descoberta e gestão de superfície de ataque (CTEM)</t>
        </is>
      </c>
      <c r="C11" s="75" t="inlineStr">
        <is>
          <t>- Reanalisar recursivamente cada ativo descoberto para identificar novos ativos e novos domínios relacionados de forma contínua e automatizada.</t>
        </is>
      </c>
      <c r="D11" s="76" t="inlineStr">
        <is>
          <t>Obrigatório / Eliminatório</t>
        </is>
      </c>
      <c r="E11" s="77" t="n">
        <v>0</v>
      </c>
      <c r="F11" s="115" t="inlineStr">
        <is>
          <t>Fase documental: documentação técnica e evidências verificáveis da capacidade disponível, identificando subitem, versão, componente e licença; não basta declaração. Confirmação na PoC, se convocado: Acesso ao sistema (PoC) + Documento. Ref.: Anexo I, item 5.1.</t>
        </is>
      </c>
      <c r="G11" s="115" t="inlineStr">
        <is>
          <t>Avaliação documental para NF/VTI; PoC posterior da convocada, na amostra comum aprovada.</t>
        </is>
      </c>
      <c r="H11" s="75" t="inlineStr">
        <is>
          <t>Todos os subitens do bloco deverão ser comprovados; cada subitem conserva natureza eliminatória autônoma.</t>
        </is>
      </c>
      <c r="I11" s="115" t="inlineStr">
        <is>
          <t>Não atendimento material de subitem eliminatório reprova na fase cabível; pendência formal deve ser resolvida antes da conclusão.</t>
        </is>
      </c>
      <c r="J11" s="78" t="n"/>
      <c r="K11" s="78" t="n"/>
      <c r="L11" s="78" t="n"/>
      <c r="M11" s="78" t="n"/>
      <c r="N11" s="78" t="n"/>
      <c r="O11" s="79" t="n"/>
      <c r="P11" s="80" t="n">
        <f>IF(AND(J11="Atende integralmente",ISNUMBER(O11),O11=E11),O11,0)</f>
        <v>0</v>
      </c>
      <c r="Q11" s="81" t="n"/>
      <c r="R11" s="78" t="n"/>
    </row>
    <row r="12" ht="301.2" customHeight="1" s="37">
      <c r="A12" s="68" t="inlineStr">
        <is>
          <t>RF-E-006</t>
        </is>
      </c>
      <c r="B12" s="69" t="inlineStr">
        <is>
          <t>Simulação de violação e ataque (BAS)</t>
        </is>
      </c>
      <c r="C12" s="69" t="inlineStr">
        <is>
          <t>- Incluir estratégias de remediação recomendadas para cada descoberta, orientando as equipes técnicas sobre as ações corretivas prioritárias.
- Permitir a emulação controlada de vetores de ataque identificados nos ativos-alvo, para validação técnica das fraquezas encontradas e da efetividade dos controles, dentro do escopo e das regras de engajamento autorizados.
- Disponibilizar, quando aplicável, os elementos técnicos necessários à reprodução controlada da prova de conceito do vetor identificado, preservados o escopo autorizado, a segurança e os registros de requisição e resposta.</t>
        </is>
      </c>
      <c r="D12" s="82" t="inlineStr">
        <is>
          <t>Obrigatório / Eliminatório</t>
        </is>
      </c>
      <c r="E12" s="83" t="n">
        <v>0</v>
      </c>
      <c r="F12"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5.2.</t>
        </is>
      </c>
      <c r="G12" s="110" t="inlineStr">
        <is>
          <t>Avaliação documental para NF/VTI; PoC posterior da convocada, na amostra comum aprovada.</t>
        </is>
      </c>
      <c r="H12" s="69" t="inlineStr">
        <is>
          <t>Todos os subitens do bloco deverão ser comprovados; cada subitem conserva natureza eliminatória autônoma.</t>
        </is>
      </c>
      <c r="I12" s="110" t="inlineStr">
        <is>
          <t>Não atendimento material de subitem eliminatório reprova na fase cabível; pendência formal deve ser resolvida antes da conclusão.</t>
        </is>
      </c>
      <c r="J12" s="78" t="n"/>
      <c r="K12" s="78" t="n"/>
      <c r="L12" s="78" t="n"/>
      <c r="M12" s="78" t="n"/>
      <c r="N12" s="78" t="n"/>
      <c r="O12" s="79" t="n"/>
      <c r="P12" s="80" t="n">
        <f>IF(AND(J12="Atende integralmente",ISNUMBER(O12),O12=E12),O12,0)</f>
        <v>0</v>
      </c>
      <c r="Q12" s="84" t="n"/>
      <c r="R12" s="78" t="n"/>
    </row>
    <row r="13" ht="138" customHeight="1" s="37">
      <c r="A13" s="74" t="inlineStr">
        <is>
          <t>RF-E-007</t>
        </is>
      </c>
      <c r="B13" s="75" t="inlineStr">
        <is>
          <t>Relatórios e gestão operacional</t>
        </is>
      </c>
      <c r="C13" s="75" t="inlineStr">
        <is>
          <t>- Possuir sistema de notificação que alerte os usuários quando novas vulnerabilidades forem encontradas nos ativos monitorados.</t>
        </is>
      </c>
      <c r="D13" s="76" t="inlineStr">
        <is>
          <t>Obrigatório / Eliminatório</t>
        </is>
      </c>
      <c r="E13" s="77" t="n">
        <v>0</v>
      </c>
      <c r="F13"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5.3.</t>
        </is>
      </c>
      <c r="G13" s="115" t="inlineStr">
        <is>
          <t>Avaliação documental para NF/VTI; PoC posterior da convocada, na amostra comum aprovada.</t>
        </is>
      </c>
      <c r="H13" s="75" t="inlineStr">
        <is>
          <t>Todos os subitens do bloco deverão ser comprovados; cada subitem conserva natureza eliminatória autônoma.</t>
        </is>
      </c>
      <c r="I13" s="115" t="inlineStr">
        <is>
          <t>Não atendimento material de subitem eliminatório reprova na fase cabível; pendência formal deve ser resolvida antes da conclusão.</t>
        </is>
      </c>
      <c r="J13" s="78" t="n"/>
      <c r="K13" s="78" t="n"/>
      <c r="L13" s="78" t="n"/>
      <c r="M13" s="78" t="n"/>
      <c r="N13" s="78" t="n"/>
      <c r="O13" s="79" t="n"/>
      <c r="P13" s="80" t="n">
        <f>IF(AND(J13="Atende integralmente",ISNUMBER(O13),O13=E13),O13,0)</f>
        <v>0</v>
      </c>
      <c r="Q13" s="81" t="n"/>
      <c r="R13" s="78" t="n"/>
    </row>
    <row r="14" ht="138" customHeight="1" s="37">
      <c r="A14" s="68" t="inlineStr">
        <is>
          <t>RF-E-008</t>
        </is>
      </c>
      <c r="B14" s="69" t="inlineStr">
        <is>
          <t>Requisitos de Implantação e Infraestrutura</t>
        </is>
      </c>
      <c r="C14" s="69" t="inlineStr">
        <is>
          <t>- Garantir compatibilidade com os ambientes tecnológicos do InPACTA/Cliente, com documentação técnica detalhada de requisitos de implantação para cada modalidade.</t>
        </is>
      </c>
      <c r="D14" s="82" t="inlineStr">
        <is>
          <t>Obrigatório / Eliminatório</t>
        </is>
      </c>
      <c r="E14" s="83" t="n">
        <v>0</v>
      </c>
      <c r="F14"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5.4.</t>
        </is>
      </c>
      <c r="G14" s="110" t="inlineStr">
        <is>
          <t>Avaliação documental para NF/VTI; PoC posterior da convocada, na amostra comum aprovada.</t>
        </is>
      </c>
      <c r="H14" s="69" t="inlineStr">
        <is>
          <t>Todos os subitens do bloco deverão ser comprovados; cada subitem conserva natureza eliminatória autônoma.</t>
        </is>
      </c>
      <c r="I14" s="110" t="inlineStr">
        <is>
          <t>Não atendimento material de subitem eliminatório reprova na fase cabível; pendência formal deve ser resolvida antes da conclusão.</t>
        </is>
      </c>
      <c r="J14" s="78" t="n"/>
      <c r="K14" s="78" t="n"/>
      <c r="L14" s="78" t="n"/>
      <c r="M14" s="78" t="n"/>
      <c r="N14" s="78" t="n"/>
      <c r="O14" s="79" t="n"/>
      <c r="P14" s="80" t="n">
        <f>IF(AND(J14="Atende integralmente",ISNUMBER(O14),O14=E14),O14,0)</f>
        <v>0</v>
      </c>
      <c r="Q14" s="84" t="n"/>
      <c r="R14" s="78" t="n"/>
    </row>
    <row r="15" ht="180" customHeight="1" s="37">
      <c r="A15" s="74" t="inlineStr">
        <is>
          <t>RF-E-009</t>
        </is>
      </c>
      <c r="B15" s="75" t="inlineStr">
        <is>
          <t>Dimensionamento mínimo</t>
        </is>
      </c>
      <c r="C15" s="115" t="inlineStr">
        <is>
          <t>- Demonstrar capacidade para suportar, no mínimo, 1.500 ativos externos por implementação na descoberta automatizada, no inventário dinâmico, no monitoramento contínuo e na avaliação de exposição, segundo a unidade de contabilização do Anexo I. Trata-se de capacidade de referência a comprovar, não de consumo mínimo, inventário validado ou carga integral obrigatória na PoC.</t>
        </is>
      </c>
      <c r="D15" s="76" t="inlineStr">
        <is>
          <t>Obrigatório / Eliminatório</t>
        </is>
      </c>
      <c r="E15" s="77" t="n">
        <v>0</v>
      </c>
      <c r="F15" s="115" t="inlineStr">
        <is>
          <t>Fase documental: documentação técnica e evidências verificáveis da capacidade disponível, identificando subitem, versão, componente e licença; não basta declaração. Confirmação na PoC, se convocado: Licenciamento e documentação técnica objetiva; teste representativo ou teste de desempenho quando expressamente convocado. Ref.: Anexo I, item 5.5.1.</t>
        </is>
      </c>
      <c r="G15" s="115" t="inlineStr">
        <is>
          <t>Avaliação documental para NF/VTI; PoC posterior da convocada, na amostra comum aprovada.</t>
        </is>
      </c>
      <c r="H15" s="75" t="inlineStr">
        <is>
          <t>Comprovar suporte à capacidade de referência e ao critério de contabilização, sem exigir carga integral quando a escala não for o objeto material do cenário.</t>
        </is>
      </c>
      <c r="I15" s="115" t="inlineStr">
        <is>
          <t>Não atendimento material de subitem eliminatório reprova na fase cabível; pendência formal deve ser resolvida antes da conclusão.</t>
        </is>
      </c>
      <c r="J15" s="78" t="n"/>
      <c r="K15" s="78" t="n"/>
      <c r="L15" s="78" t="n"/>
      <c r="M15" s="78" t="n"/>
      <c r="N15" s="78" t="n"/>
      <c r="O15" s="79" t="n"/>
      <c r="P15" s="80" t="n">
        <f>IF(AND(J15="Atende integralmente",ISNUMBER(O15),O15=E15),O15,0)</f>
        <v>0</v>
      </c>
      <c r="Q15" s="81" t="n"/>
      <c r="R15" s="78" t="n"/>
    </row>
    <row r="16" ht="409.5" customHeight="1" s="37">
      <c r="A16" s="68" t="inlineStr">
        <is>
          <t>RF-E-010</t>
        </is>
      </c>
      <c r="B16" s="69" t="inlineStr">
        <is>
          <t>Gerenciamento de risco cibernético de terceiros</t>
        </is>
      </c>
      <c r="C16" s="69" t="inlineStr">
        <is>
          <t>- Fornecer descoberta automática de ativos, detectando ativos digitais relacionados à rede dos fornecedores e parceiros, utilizando métodos como SSL, registros WHOIS e combinação de ferramentas externas e internas.
- Coletar riscos cibernéticos de fontes de cibercrime, Gerenciamento de Superfície de Ataque e Inteligência Técnica, consolidando-os em painel unificado de gestão.
- Permitir avaliar respostas e evidências dos terceiros em relação a requisitos regulatórios, normas, padrões de segurança e critérios de conformidade definidos pela INPACTA/CLIENTE, incluindo NIS2, DORA, HIPAA ou outros referenciais apenas quando aplicáveis.
- Monitorar credenciais vazadas e contas comprometidas relacionadas a fornecedores e parceiros da cadeia de suprimentos.
- Monitorar portas abertas e problemas de segurança de e-mail nos ativos mapeados dos terceiros avaliados.
- Acompanhar vítimas de ataques de ransomware em blogs, portais de negociação e sites de vazamento de dados, identificando fornecedores impactados.</t>
        </is>
      </c>
      <c r="D16" s="82" t="inlineStr">
        <is>
          <t>Obrigatório / Eliminatório</t>
        </is>
      </c>
      <c r="E16" s="83" t="n">
        <v>0</v>
      </c>
      <c r="F16"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6.1.</t>
        </is>
      </c>
      <c r="G16" s="110" t="inlineStr">
        <is>
          <t>Avaliação documental para NF/VTI; PoC posterior da convocada, na amostra comum aprovada.</t>
        </is>
      </c>
      <c r="H16" s="69" t="inlineStr">
        <is>
          <t>Todos os subitens do bloco deverão ser comprovados; cada subitem conserva natureza eliminatória autônoma.</t>
        </is>
      </c>
      <c r="I16" s="110" t="inlineStr">
        <is>
          <t>Não atendimento material de subitem eliminatório reprova na fase cabível; pendência formal deve ser resolvida antes da conclusão.</t>
        </is>
      </c>
      <c r="J16" s="78" t="n"/>
      <c r="K16" s="78" t="n"/>
      <c r="L16" s="78" t="n"/>
      <c r="M16" s="78" t="n"/>
      <c r="N16" s="78" t="n"/>
      <c r="O16" s="79" t="n"/>
      <c r="P16" s="80" t="n">
        <f>IF(AND(J16="Atende integralmente",ISNUMBER(O16),O16=E16),O16,0)</f>
        <v>0</v>
      </c>
      <c r="Q16" s="84" t="n"/>
      <c r="R16" s="78" t="n"/>
    </row>
    <row r="17" ht="138" customHeight="1" s="37">
      <c r="A17" s="74" t="inlineStr">
        <is>
          <t>RF-E-011</t>
        </is>
      </c>
      <c r="B17" s="75" t="inlineStr">
        <is>
          <t>Compliance</t>
        </is>
      </c>
      <c r="C17" s="75" t="inlineStr">
        <is>
          <t>- Gerar evidências de conformidade e trilhas de auditoria para fins de fiscalização, certificação e prestação de contas a órgãos reguladores.
- Integrar os resultados dos questionários ao Cyber Score e ao painel de risco do portfólio de fornecedores.</t>
        </is>
      </c>
      <c r="D17" s="76" t="inlineStr">
        <is>
          <t>Obrigatório / Eliminatório</t>
        </is>
      </c>
      <c r="E17" s="77" t="n">
        <v>0</v>
      </c>
      <c r="F17"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6.2.</t>
        </is>
      </c>
      <c r="G17" s="115" t="inlineStr">
        <is>
          <t>Avaliação documental para NF/VTI; PoC posterior da convocada, na amostra comum aprovada.</t>
        </is>
      </c>
      <c r="H17" s="75" t="inlineStr">
        <is>
          <t>Todos os subitens do bloco deverão ser comprovados; cada subitem conserva natureza eliminatória autônoma.</t>
        </is>
      </c>
      <c r="I17" s="115" t="inlineStr">
        <is>
          <t>Não atendimento material de subitem eliminatório reprova na fase cabível; pendência formal deve ser resolvida antes da conclusão.</t>
        </is>
      </c>
      <c r="J17" s="78" t="n"/>
      <c r="K17" s="78" t="n"/>
      <c r="L17" s="78" t="n"/>
      <c r="M17" s="78" t="n"/>
      <c r="N17" s="78" t="n"/>
      <c r="O17" s="79" t="n"/>
      <c r="P17" s="80" t="n">
        <f>IF(AND(J17="Atende integralmente",ISNUMBER(O17),O17=E17),O17,0)</f>
        <v>0</v>
      </c>
      <c r="Q17" s="81" t="n"/>
      <c r="R17" s="78" t="n"/>
    </row>
    <row r="18" ht="246.65" customHeight="1" s="37">
      <c r="A18" s="68" t="inlineStr">
        <is>
          <t>RF-E-012</t>
        </is>
      </c>
      <c r="B18" s="69" t="inlineStr">
        <is>
          <t>Exposição de ameaças</t>
        </is>
      </c>
      <c r="C18" s="69" t="inlineStr">
        <is>
          <t>- Monitorar credenciais vazadas e contas comprometidas associadas aos domínios e ativos dos fornecedores cadastrados.
- Emitir alertas quando forem identificadas credenciais, contas comprometidas, acessos corporativos anunciados para venda ou outros indícios relevantes de exposição relacionados aos terceiros monitorados.
- Fornecer contexto completo sobre os vazamentos identificados, incluindo origem, data, volume e tipo de dado comprometido.</t>
        </is>
      </c>
      <c r="D18" s="82" t="inlineStr">
        <is>
          <t>Obrigatório / Eliminatório</t>
        </is>
      </c>
      <c r="E18" s="83" t="n">
        <v>0</v>
      </c>
      <c r="F18"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6.3.</t>
        </is>
      </c>
      <c r="G18" s="110" t="inlineStr">
        <is>
          <t>Avaliação documental para NF/VTI; PoC posterior da convocada, na amostra comum aprovada.</t>
        </is>
      </c>
      <c r="H18" s="69" t="inlineStr">
        <is>
          <t>Todos os subitens do bloco deverão ser comprovados; cada subitem conserva natureza eliminatória autônoma.</t>
        </is>
      </c>
      <c r="I18" s="110" t="inlineStr">
        <is>
          <t>Não atendimento material de subitem eliminatório reprova na fase cabível; pendência formal deve ser resolvida antes da conclusão.</t>
        </is>
      </c>
      <c r="J18" s="78" t="n"/>
      <c r="K18" s="78" t="n"/>
      <c r="L18" s="78" t="n"/>
      <c r="M18" s="78" t="n"/>
      <c r="N18" s="78" t="n"/>
      <c r="O18" s="79" t="n"/>
      <c r="P18" s="80" t="n">
        <f>IF(AND(J18="Atende integralmente",ISNUMBER(O18),O18=E18),O18,0)</f>
        <v>0</v>
      </c>
      <c r="Q18" s="84" t="n"/>
      <c r="R18" s="78" t="n"/>
    </row>
    <row r="19" ht="228.45" customHeight="1" s="37">
      <c r="A19" s="74" t="inlineStr">
        <is>
          <t>RF-E-013</t>
        </is>
      </c>
      <c r="B19" s="75" t="inlineStr">
        <is>
          <t>Superfície de ataque</t>
        </is>
      </c>
      <c r="C19" s="75" t="inlineStr">
        <is>
          <t>- Monitorar portas abertas, serviços expostos e problemas de configuração de segurança nos ativos externos dos fornecedores.
- Identificar problemas de segurança de e-mail, incluindo configurações incorretas de SPF, DKIM e DMARC nos domínios dos terceiros.
- Detectar ativos não gerenciados ou desconhecidos expostos na internet que possam representar vetor de ataque à cadeia de fornecimento.</t>
        </is>
      </c>
      <c r="D19" s="76" t="inlineStr">
        <is>
          <t>Obrigatório / Eliminatório</t>
        </is>
      </c>
      <c r="E19" s="77" t="n">
        <v>0</v>
      </c>
      <c r="F19"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6.4.</t>
        </is>
      </c>
      <c r="G19" s="115" t="inlineStr">
        <is>
          <t>Avaliação documental para NF/VTI; PoC posterior da convocada, na amostra comum aprovada.</t>
        </is>
      </c>
      <c r="H19" s="75" t="inlineStr">
        <is>
          <t>Todos os subitens do bloco deverão ser comprovados; cada subitem conserva natureza eliminatória autônoma.</t>
        </is>
      </c>
      <c r="I19" s="115" t="inlineStr">
        <is>
          <t>Não atendimento material de subitem eliminatório reprova na fase cabível; pendência formal deve ser resolvida antes da conclusão.</t>
        </is>
      </c>
      <c r="J19" s="78" t="n"/>
      <c r="K19" s="78" t="n"/>
      <c r="L19" s="78" t="n"/>
      <c r="M19" s="78" t="n"/>
      <c r="N19" s="78" t="n"/>
      <c r="O19" s="79" t="n"/>
      <c r="P19" s="80" t="n">
        <f>IF(AND(J19="Atende integralmente",ISNUMBER(O19),O19=E19),O19,0)</f>
        <v>0</v>
      </c>
      <c r="Q19" s="81" t="n"/>
      <c r="R19" s="78" t="n"/>
    </row>
    <row r="20" ht="155.6" customHeight="1" s="37">
      <c r="A20" s="68" t="inlineStr">
        <is>
          <t>RF-E-014</t>
        </is>
      </c>
      <c r="B20" s="69" t="inlineStr">
        <is>
          <t>Ransomware</t>
        </is>
      </c>
      <c r="C20" s="69" t="inlineStr">
        <is>
          <t>- Monitorar ativamente blogs de grupos de ransomware, portais de negociação e sites de vazamento de dados para identificar fornecedores e parceiros vitimados.
- Emitir alertas imediatos quando fornecedores cadastrados forem identificados como vítimas de ataques de ransomware.</t>
        </is>
      </c>
      <c r="D20" s="82" t="inlineStr">
        <is>
          <t>Obrigatório / Eliminatório</t>
        </is>
      </c>
      <c r="E20" s="83" t="n">
        <v>0</v>
      </c>
      <c r="F20" s="110" t="inlineStr">
        <is>
          <t>Fase documental: documentação técnica e evidências verificáveis da capacidade disponível, identificando subitem, versão, componente e licença; não basta declaração. Confirmação na PoC, se convocado: Acesso ao sistema (PoC) e teste prático. Ref.: Anexo I, itens 6.4.6 a 6.4.9.</t>
        </is>
      </c>
      <c r="G20" s="110" t="inlineStr">
        <is>
          <t>Avaliação documental para NF/VTI; PoC posterior da convocada, na amostra comum aprovada.</t>
        </is>
      </c>
      <c r="H20" s="69" t="inlineStr">
        <is>
          <t>Todos os subitens do bloco deverão ser comprovados; cada subitem conserva natureza eliminatória autônoma.</t>
        </is>
      </c>
      <c r="I20" s="110" t="inlineStr">
        <is>
          <t>Não atendimento material de subitem eliminatório reprova na fase cabível; pendência formal deve ser resolvida antes da conclusão.</t>
        </is>
      </c>
      <c r="J20" s="78" t="n"/>
      <c r="K20" s="78" t="n"/>
      <c r="L20" s="78" t="n"/>
      <c r="M20" s="78" t="n"/>
      <c r="N20" s="78" t="n"/>
      <c r="O20" s="79" t="n"/>
      <c r="P20" s="80" t="n">
        <f>IF(AND(J20="Atende integralmente",ISNUMBER(O20),O20=E20),O20,0)</f>
        <v>0</v>
      </c>
      <c r="Q20" s="84" t="n"/>
      <c r="R20" s="78" t="n"/>
    </row>
    <row r="21" ht="138" customHeight="1" s="37">
      <c r="A21" s="74" t="inlineStr">
        <is>
          <t>RF-E-015</t>
        </is>
      </c>
      <c r="B21" s="75" t="inlineStr">
        <is>
          <t>Dimensionamento mínimo</t>
        </is>
      </c>
      <c r="C21" s="115" t="inlineStr">
        <is>
          <t>- Suportar, no mínimo, 5 usuários nomeados, incluindo ao menos 1 administrador, e o cadastramento, a classificação, o monitoramento e a avaliação de 300 terceiros. Os números definem capacidade de suporte, não consumo mínimo do CLIENTE.</t>
        </is>
      </c>
      <c r="D21" s="76" t="inlineStr">
        <is>
          <t>Obrigatório / Eliminatório</t>
        </is>
      </c>
      <c r="E21" s="77" t="n">
        <v>0</v>
      </c>
      <c r="F21" s="115" t="inlineStr">
        <is>
          <t>Fase documental: documentação técnica e evidências verificáveis da capacidade disponível, identificando subitem, versão, componente e licença; não basta declaração. Confirmação na PoC, se convocado: Demonstração em PoC e/ou documentação técnica objetiva. Ref.: Anexo I, itens 6.5.1 e 6.5.2.</t>
        </is>
      </c>
      <c r="G21" s="115" t="inlineStr">
        <is>
          <t>Avaliação documental para NF/VTI; PoC posterior da convocada, na amostra comum aprovada.</t>
        </is>
      </c>
      <c r="H21" s="75" t="inlineStr">
        <is>
          <t>Todos os subitens do bloco deverão ser comprovados; cada subitem conserva natureza eliminatória autônoma.</t>
        </is>
      </c>
      <c r="I21" s="115" t="inlineStr">
        <is>
          <t>Não atendimento material de subitem eliminatório reprova na fase cabível; pendência formal deve ser resolvida antes da conclusão.</t>
        </is>
      </c>
      <c r="J21" s="78" t="n"/>
      <c r="K21" s="78" t="n"/>
      <c r="L21" s="78" t="n"/>
      <c r="M21" s="78" t="n"/>
      <c r="N21" s="78" t="n"/>
      <c r="O21" s="79" t="n"/>
      <c r="P21" s="80" t="n">
        <f>IF(AND(J21="Atende integralmente",ISNUMBER(O21),O21=E21),O21,0)</f>
        <v>0</v>
      </c>
      <c r="Q21" s="81" t="n"/>
      <c r="R21" s="78" t="n"/>
    </row>
    <row r="22" ht="409.5" customHeight="1" s="37">
      <c r="A22" s="68" t="inlineStr">
        <is>
          <t>RF-E-016A</t>
        </is>
      </c>
      <c r="B22" s="69" t="inlineStr">
        <is>
          <t>Requisitos Gerais da Plataforma</t>
        </is>
      </c>
      <c r="C22" s="69" t="inlineStr">
        <is>
          <t>- Produzir inteligência acionável a partir de fontes legalmente acessíveis, com automação auditável, equipe especializada e contexto suficiente para prevenção, investigação e resposta.
- Tratar múltiplos idiomas com tradução e análise contextual verificáveis.
- Manter base de ameaças e credenciais expostas com cobertura, atualização, qualidade, origem, temporalidade e rastreabilidade demonstráveis.
- Permitir solicitações de inteligência, pesquisas dirigidas e inclusão controlada de novas fontes, com escopo, prazo, autorização e entrega previamente definidos.
- Apoiar comunicações ou ações de mitigação envolvendo agentes externos somente com autorização, legalidade, segurança e registro.
- Detectar e contextualizar credenciais expostas, vazamentos, campanhas, intenções de ataque, infraestrutura comprometida e outras ameaças relevantes ao escopo autorizado.
- Coletar metadados e evidências verificáveis, incluindo autor, identificadores, data, capturas e vínculo com a fonte quando disponíveis.
- Admitir integração por APIs, webhooks, playbooks e mecanismos equivalentes, sem vinculação a fabricante específico.</t>
        </is>
      </c>
      <c r="D22" s="82" t="inlineStr">
        <is>
          <t>Obrigatório / Eliminatório</t>
        </is>
      </c>
      <c r="E22" s="83" t="n">
        <v>0</v>
      </c>
      <c r="F22" s="110" t="inlineStr">
        <is>
          <t>Fase documental: documentação técnica e evidências verificáveis da capacidade disponível, identificando subitem, versão, componente e licença; não basta declaração. Confirmação na PoC, se convocado: Documentação técnica, amostra controlada, evidências rastreáveis e demonstração em PoC. Ref.: Anexo I, itens 7.1 e 7.12.</t>
        </is>
      </c>
      <c r="G22" s="110" t="inlineStr">
        <is>
          <t>Avaliação documental para NF/VTI; PoC posterior da convocada, na amostra comum aprovada.</t>
        </is>
      </c>
      <c r="H22" s="69" t="inlineStr">
        <is>
          <t>Comprovar materialmente cobertura, atualização, legalidade, qualidade, rastreabilidade, integração e utilidade operacional dos recursos exigidos.</t>
        </is>
      </c>
      <c r="I22" s="110" t="inlineStr">
        <is>
          <t>Não atendimento material de subitem eliminatório reprova na fase cabível; pendência formal deve ser resolvida antes da conclusão.</t>
        </is>
      </c>
      <c r="J22" s="78" t="n"/>
      <c r="K22" s="78" t="n"/>
      <c r="L22" s="78" t="n"/>
      <c r="M22" s="78" t="n"/>
      <c r="N22" s="78" t="n"/>
      <c r="O22" s="79" t="n"/>
      <c r="P22" s="80" t="n">
        <f>IF(AND(J22="Atende integralmente",ISNUMBER(O22),O22=E22),O22,0)</f>
        <v>0</v>
      </c>
      <c r="Q22" s="84" t="n"/>
      <c r="R22" s="78" t="n"/>
    </row>
    <row r="23" ht="409.5" customHeight="1" s="37">
      <c r="A23" s="74" t="inlineStr">
        <is>
          <t>RF-E-016B</t>
        </is>
      </c>
      <c r="B23" s="75" t="inlineStr">
        <is>
          <t>Requisitos Gerais da Plataforma</t>
        </is>
      </c>
      <c r="C23" s="75" t="inlineStr">
        <is>
          <t>- Operar com coleta automatizada e predominantemente passiva nas fontes legalmente acessíveis e previstas no escopo, com proteção da identidade do usuário e rastreabilidade.
- Traduzir e contextualizar dados brutos em múltiplos idiomas na interface.
- Integrar-se a soluções de orquestração e segurança por APIs, webhooks, conectores ou mecanismos equivalentes.
- Demonstrar cobertura atualizada de vítimas e campanhas de ransomware, canais de mensageria relevantes, dispositivos comprometidos, mercados ilícitos de acesso remoto, credenciais expostas, grupos cibercriminosos e fontes de compartilhamento de texto.
- Realizar coleta contínua em fontes de web aberta, deep web e dark web legalmente acessíveis, com critérios de qualidade, relevância e atualização.
- Manter histórico operacional suficiente para investigação e correlação, sem mínimo temporal ou volumétrico proprietário não justificado.
- Aplicar controle de qualidade antes de integrar novas fontes e disponibilizar ambiente sandbox isolado para análise segura de arquivos potencialmente maliciosos.</t>
        </is>
      </c>
      <c r="D23" s="76" t="inlineStr">
        <is>
          <t>Obrigatório / Eliminatório</t>
        </is>
      </c>
      <c r="E23" s="77" t="n">
        <v>0</v>
      </c>
      <c r="F23" s="115" t="inlineStr">
        <is>
          <t>Fase documental: documentação técnica e evidências verificáveis da capacidade disponível, identificando subitem, versão, componente e licença; não basta declaração. Confirmação na PoC, se convocado: Documentação técnica, amostra controlada, evidências de cobertura e demonstração em PoC. Ref.: Anexo I, itens 7.1.28 a 7.1.38 e 7.12.</t>
        </is>
      </c>
      <c r="G23" s="115" t="inlineStr">
        <is>
          <t>Avaliação documental para NF/VTI; PoC posterior da convocada, na amostra comum aprovada.</t>
        </is>
      </c>
      <c r="H23" s="75" t="inlineStr">
        <is>
          <t>Comprovar os resultados de cobertura e qualidade por evidências equivalentes, sem dependência de volume de base, histórico ou fonte proprietária específica.</t>
        </is>
      </c>
      <c r="I23" s="115" t="inlineStr">
        <is>
          <t>Não atendimento material de subitem eliminatório reprova na fase cabível; pendência formal deve ser resolvida antes da conclusão.</t>
        </is>
      </c>
      <c r="J23" s="78" t="n"/>
      <c r="K23" s="78" t="n"/>
      <c r="L23" s="78" t="n"/>
      <c r="M23" s="78" t="n"/>
      <c r="N23" s="78" t="n"/>
      <c r="O23" s="79" t="n"/>
      <c r="P23" s="80" t="n">
        <f>IF(AND(J23="Atende integralmente",ISNUMBER(O23),O23=E23),O23,0)</f>
        <v>0</v>
      </c>
      <c r="Q23" s="81" t="n"/>
      <c r="R23" s="78" t="n"/>
    </row>
    <row r="24" ht="374.05" customHeight="1" s="37">
      <c r="A24" s="68" t="inlineStr">
        <is>
          <t>RF-E-017</t>
        </is>
      </c>
      <c r="B24" s="69" t="inlineStr">
        <is>
          <t>Módulo de Monitoramento Contínuo</t>
        </is>
      </c>
      <c r="C24" s="69" t="inlineStr">
        <is>
          <t>- Monitorar e reportar iniciativas ativistas, intenções de ataque a órgãos e indústrias e ameaças a pessoas expostas politicamente (PEPs) e VIPs.
- Monitorar fóruns darknet, marketplaces e sites de compartilhamento para identificar vendas de acesso de rede relacionados aos domínios do InPACTA/Cliente.
- Reportar vulnerabilidades nos ativos e monitorar passivamente a infraestrutura em busca de ameaças e vetores de ataque.
- Realizar varredura passiva de vulnerabilidades: tecnologias desatualizadas, servidores mal configurados, portas abertas e outras vulnerabilidades externas.
- Identificar e sinalizar páginas sensíveis expostas dentro da infraestrutura de forma proativa.</t>
        </is>
      </c>
      <c r="D24" s="82" t="inlineStr">
        <is>
          <t>Obrigatório / Eliminatório</t>
        </is>
      </c>
      <c r="E24" s="83" t="n">
        <v>0</v>
      </c>
      <c r="F24"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7.3.</t>
        </is>
      </c>
      <c r="G24" s="110" t="inlineStr">
        <is>
          <t>Avaliação documental para NF/VTI; PoC posterior da convocada, na amostra comum aprovada.</t>
        </is>
      </c>
      <c r="H24" s="69" t="inlineStr">
        <is>
          <t>Todos os subitens do bloco deverão ser comprovados; cada subitem conserva natureza eliminatória autônoma.</t>
        </is>
      </c>
      <c r="I24" s="110" t="inlineStr">
        <is>
          <t>Não atendimento material de subitem eliminatório reprova na fase cabível; pendência formal deve ser resolvida antes da conclusão.</t>
        </is>
      </c>
      <c r="J24" s="78" t="n"/>
      <c r="K24" s="78" t="n"/>
      <c r="L24" s="78" t="n"/>
      <c r="M24" s="78" t="n"/>
      <c r="N24" s="78" t="n"/>
      <c r="O24" s="79" t="n"/>
      <c r="P24" s="80" t="n">
        <f>IF(AND(J24="Atende integralmente",ISNUMBER(O24),O24=E24),O24,0)</f>
        <v>0</v>
      </c>
      <c r="Q24" s="84" t="n"/>
      <c r="R24" s="78" t="n"/>
    </row>
    <row r="25" ht="409.5" customHeight="1" s="37">
      <c r="A25" s="74" t="inlineStr">
        <is>
          <t>RF-E-018</t>
        </is>
      </c>
      <c r="B25" s="75" t="inlineStr">
        <is>
          <t>Módulo de Monitoramento Contínuo</t>
        </is>
      </c>
      <c r="C25" s="75" t="inlineStr">
        <is>
          <t>- Monitorar portas abertas de domínios, fornecendo topologia completa da rede do ponto de vista do adversário.
- Detectar intenção maliciosa de atacantes buscando explorar vulnerabilidades divulgadas.
- Detectar hosts sensíveis expostos na web, incluindo servidores que divulgam informações sensíveis.
- Detectar e apresentar visualmente todos os ativos de rede do InPACTA/Cliente.
- Emitir alertas sobre intenções de atingir VIPs com base em lista fornecida e credenciais vazadas.
- Emitir alertas sobre credenciais e exposições relacionadas a contas institucionais prioritárias indicadas pela INPACTA/CLIENTE, com contexto, evidência e data de identificação.
- Detectar vazamento de bancos de dados sensíveis em fontes de cibercrime.
- Monitorar ativamente contas comprometidas de servidores e funcionários.
- Identificar automaticamente vendas de acesso de rede relacionadas ao InPACTA/Cliente
- Exportar dados para CSV diretamente pela interface gráfica.
- Fornecer atualizações por e-mail personalizadas por perfil e preferências do usuário.
- Emitir alertas sobre ameaças identificadas em tempo real.
- Suportar arquitetura multi-tenant para monitorar múltiplas entidades de uma mesma organização.
- Analisar conversas no underground e documentos vazados para identificar distribuição de dados de cartões roubados.
- Suportar consultas por número BIN de 6 dígitos para busca precisa de cartões ou emissores específicos.
- Validar automaticamente números de cartões detectados usando o algoritmo de Luhn.
- Implementar monitoramento contínuo de palavras-chave especificadas em tempo real.</t>
        </is>
      </c>
      <c r="D25" s="76" t="inlineStr">
        <is>
          <t>Obrigatório / Eliminatório</t>
        </is>
      </c>
      <c r="E25" s="77" t="n">
        <v>0</v>
      </c>
      <c r="F25"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7.3.</t>
        </is>
      </c>
      <c r="G25" s="115" t="inlineStr">
        <is>
          <t>Avaliação documental para NF/VTI; PoC posterior da convocada, na amostra comum aprovada.</t>
        </is>
      </c>
      <c r="H25" s="75" t="inlineStr">
        <is>
          <t>Todos os subitens do bloco deverão ser comprovados; cada subitem conserva natureza eliminatória autônoma.</t>
        </is>
      </c>
      <c r="I25" s="115" t="inlineStr">
        <is>
          <t>Não atendimento material de subitem eliminatório reprova na fase cabível; pendência formal deve ser resolvida antes da conclusão.</t>
        </is>
      </c>
      <c r="J25" s="78" t="n"/>
      <c r="K25" s="78" t="n"/>
      <c r="L25" s="78" t="n"/>
      <c r="M25" s="78" t="n"/>
      <c r="N25" s="78" t="n"/>
      <c r="O25" s="79" t="n"/>
      <c r="P25" s="80" t="n">
        <f>IF(AND(J25="Atende integralmente",ISNUMBER(O25),O25=E25),O25,0)</f>
        <v>0</v>
      </c>
      <c r="Q25" s="81" t="n"/>
      <c r="R25" s="78" t="n"/>
    </row>
    <row r="26" ht="409.5" customHeight="1" s="37">
      <c r="A26" s="68" t="inlineStr">
        <is>
          <t>RF-E-019</t>
        </is>
      </c>
      <c r="B26" s="69" t="inlineStr">
        <is>
          <t>Módulo de Investigação</t>
        </is>
      </c>
      <c r="C26" s="69" t="inlineStr">
        <is>
          <t>- Acessar todo o data lake (credenciais vazadas, discussões de hacking etc.) com uma única consulta.
- Suportar operadores booleanos (AND, OR, NOT) e fuzzy (proximidade, curingas) para pesquisas avançadas.
- Permitir consultas simultâneas em múltiplos tipos de dados, acessando todo o data lake com uma única busca.
- Possuir campos avançados de metadados para identificar toda a atividade de um ator com uma única consulta.
- Realizar mineração de texto para busca de menções em diferentes documentos.
- Permitir download de configurações de bot ou arquivos relacionados em formato ZIP.
- Traduzir automaticamente dados brutos em múltiplos idiomas diretamente na plataforma.
- Disponibilizar consultas pré-definidas sobre temas relevantes: vítimas recentes de ransomware, initial access brokers, grupos hacktivistas.
- Fornecer acesso a dados históricos arquivados, mesmo que não estejam mais disponíveis online nas fontes originais.
- Apoiar threat hunting e investigações cibernéticas com insights sobre TTPs, perfis de atores e discussões de hacking.</t>
        </is>
      </c>
      <c r="D26" s="82" t="inlineStr">
        <is>
          <t>Obrigatório / Eliminatório</t>
        </is>
      </c>
      <c r="E26" s="83" t="n">
        <v>0</v>
      </c>
      <c r="F26"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7.4.</t>
        </is>
      </c>
      <c r="G26" s="110" t="inlineStr">
        <is>
          <t>Avaliação documental para NF/VTI; PoC posterior da convocada, na amostra comum aprovada.</t>
        </is>
      </c>
      <c r="H26" s="69" t="inlineStr">
        <is>
          <t>Todos os subitens do bloco deverão ser comprovados; cada subitem conserva natureza eliminatória autônoma.</t>
        </is>
      </c>
      <c r="I26" s="110" t="inlineStr">
        <is>
          <t>Não atendimento material de subitem eliminatório reprova na fase cabível; pendência formal deve ser resolvida antes da conclusão.</t>
        </is>
      </c>
      <c r="J26" s="78" t="n"/>
      <c r="K26" s="78" t="n"/>
      <c r="L26" s="78" t="n"/>
      <c r="M26" s="78" t="n"/>
      <c r="N26" s="78" t="n"/>
      <c r="O26" s="79" t="n"/>
      <c r="P26" s="80" t="n">
        <f>IF(AND(J26="Atende integralmente",ISNUMBER(O26),O26=E26),O26,0)</f>
        <v>0</v>
      </c>
      <c r="Q26" s="84" t="n"/>
      <c r="R26" s="78" t="n"/>
    </row>
    <row r="27" ht="355.85" customHeight="1" s="37">
      <c r="A27" s="74" t="inlineStr">
        <is>
          <t>RF-E-020</t>
        </is>
      </c>
      <c r="B27" s="75" t="inlineStr">
        <is>
          <t>Módulo de Panorama de Ameaças</t>
        </is>
      </c>
      <c r="C27" s="75" t="inlineStr">
        <is>
          <t>- Fornecer relatórios sobre campanhas de ransomware com inteligência em tempo real, divisão por severidade e monitoramento ativo de sites de ransomware e vazamento.
- Disponibilizar destaques diários das atividades mais significativas do underground, incorporando IOCs coletados.
- Oferecer dashboards de tendências, destaques diários e feed de inteligência finalizada para decisões estratégicas e executivas.
- Gerar relatórios de inteligência por setor/indústria cobrindo malware, vulnerabilidades e tendências de cibercrime.
- Fornecer inteligência estratégica para gestores: ransomware, acessos à venda, bancos de dados vazados e novas ameaças por setor.</t>
        </is>
      </c>
      <c r="D27" s="76" t="inlineStr">
        <is>
          <t>Obrigatório / Eliminatório</t>
        </is>
      </c>
      <c r="E27" s="77" t="n">
        <v>0</v>
      </c>
      <c r="F27"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7.5.</t>
        </is>
      </c>
      <c r="G27" s="115" t="inlineStr">
        <is>
          <t>Avaliação documental para NF/VTI; PoC posterior da convocada, na amostra comum aprovada.</t>
        </is>
      </c>
      <c r="H27" s="75" t="inlineStr">
        <is>
          <t>Todos os subitens do bloco deverão ser comprovados; cada subitem conserva natureza eliminatória autônoma.</t>
        </is>
      </c>
      <c r="I27" s="115" t="inlineStr">
        <is>
          <t>Não atendimento material de subitem eliminatório reprova na fase cabível; pendência formal deve ser resolvida antes da conclusão.</t>
        </is>
      </c>
      <c r="J27" s="78" t="n"/>
      <c r="K27" s="78" t="n"/>
      <c r="L27" s="78" t="n"/>
      <c r="M27" s="78" t="n"/>
      <c r="N27" s="78" t="n"/>
      <c r="O27" s="79" t="n"/>
      <c r="P27" s="80" t="n">
        <f>IF(AND(J27="Atende integralmente",ISNUMBER(O27),O27=E27),O27,0)</f>
        <v>0</v>
      </c>
      <c r="Q27" s="81" t="n"/>
      <c r="R27" s="78" t="n"/>
    </row>
    <row r="28" ht="409.5" customHeight="1" s="37">
      <c r="A28" s="68" t="inlineStr">
        <is>
          <t>RF-E-021</t>
        </is>
      </c>
      <c r="B28" s="69" t="inlineStr">
        <is>
          <t>Módulo de Inteligência Técnica</t>
        </is>
      </c>
      <c r="C28" s="69" t="inlineStr">
        <is>
          <t>- Detectar automaticamente RDPs potencialmente comprometidos em fontes de cibercrime.
- Rastrear publicações de atores no underground para identificar proxies de cibercrime.
- Detectar automaticamente IPs de vítimas de phishing comprometidos em fontes de cibercrime.
- Identificar automaticamente websites comprometidos envolvidos em atividades de cibercrime.
- Detectar automaticamente endpoints infectados por malware.
- Exportar múltiplos tipos de dados para CSV diretamente pela interface gráfica.
- Disponibilizar repositório de IOCs selecionados de canais underground, distinto de campanhas maliciosas convencionais.
- Realizar coleta automatizada de IPs e domínios comprometidos de múltiplas fontes underground, disponível via API como feed legível por máquina.
- Suportar STIX/TAXII para compartilhamento e ingestão automatizados de inteligência com TIPs e SIEMs compatíveis.</t>
        </is>
      </c>
      <c r="D28" s="82" t="inlineStr">
        <is>
          <t>Obrigatório / Eliminatório</t>
        </is>
      </c>
      <c r="E28" s="83" t="n">
        <v>0</v>
      </c>
      <c r="F28"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7.6.</t>
        </is>
      </c>
      <c r="G28" s="110" t="inlineStr">
        <is>
          <t>Avaliação documental para NF/VTI; PoC posterior da convocada, na amostra comum aprovada.</t>
        </is>
      </c>
      <c r="H28" s="69" t="inlineStr">
        <is>
          <t>Todos os subitens do bloco deverão ser comprovados; cada subitem conserva natureza eliminatória autônoma.</t>
        </is>
      </c>
      <c r="I28" s="110" t="inlineStr">
        <is>
          <t>Não atendimento material de subitem eliminatório reprova na fase cabível; pendência formal deve ser resolvida antes da conclusão.</t>
        </is>
      </c>
      <c r="J28" s="78" t="n"/>
      <c r="K28" s="78" t="n"/>
      <c r="L28" s="78" t="n"/>
      <c r="M28" s="78" t="n"/>
      <c r="N28" s="78" t="n"/>
      <c r="O28" s="79" t="n"/>
      <c r="P28" s="80" t="n">
        <f>IF(AND(J28="Atende integralmente",ISNUMBER(O28),O28=E28),O28,0)</f>
        <v>0</v>
      </c>
      <c r="Q28" s="84" t="n"/>
      <c r="R28" s="78" t="n"/>
    </row>
    <row r="29" ht="301.2" customHeight="1" s="37">
      <c r="A29" s="74" t="inlineStr">
        <is>
          <t>RF-E-022</t>
        </is>
      </c>
      <c r="B29" s="115" t="inlineStr">
        <is>
          <t>Módulo de Atores de Ameaça e Inteligência APT</t>
        </is>
      </c>
      <c r="C29" s="75" t="inlineStr">
        <is>
          <t>- Disponibilizar dashboard centralizado com inteligência abrangente sobre atores de ameaça.
- Fornecer resumo completo de cada ator, elaborado por analistas especializados ou gerado por inteligência artificial.
- Analisar padrões de atividades, afiliações e alvos para revelar as motivações dos atores.
- Cruzar informações de múltiplas fontes para identificar e relacionar diferentes perfis do mesmo ator, mesmo com aliases ou plataformas distintas.
- Analisar dados históricos para detectar apelidos anteriores de um ator.</t>
        </is>
      </c>
      <c r="D29" s="76" t="inlineStr">
        <is>
          <t>Obrigatório / Eliminatório</t>
        </is>
      </c>
      <c r="E29" s="77" t="n">
        <v>0</v>
      </c>
      <c r="F29"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7.7.</t>
        </is>
      </c>
      <c r="G29" s="115" t="inlineStr">
        <is>
          <t>Avaliação documental para NF/VTI; PoC posterior da convocada, na amostra comum aprovada.</t>
        </is>
      </c>
      <c r="H29" s="75" t="inlineStr">
        <is>
          <t>Todos os subitens do bloco deverão ser comprovados; cada subitem conserva natureza eliminatória autônoma.</t>
        </is>
      </c>
      <c r="I29" s="115" t="inlineStr">
        <is>
          <t>Não atendimento material de subitem eliminatório reprova na fase cabível; pendência formal deve ser resolvida antes da conclusão.</t>
        </is>
      </c>
      <c r="J29" s="78" t="n"/>
      <c r="K29" s="78" t="n"/>
      <c r="L29" s="78" t="n"/>
      <c r="M29" s="78" t="n"/>
      <c r="N29" s="78" t="n"/>
      <c r="O29" s="79" t="n"/>
      <c r="P29" s="80" t="n">
        <f>IF(AND(J29="Atende integralmente",ISNUMBER(O29),O29=E29),O29,0)</f>
        <v>0</v>
      </c>
      <c r="Q29" s="81" t="n"/>
      <c r="R29" s="78" t="n"/>
    </row>
    <row r="30" ht="409.5" customHeight="1" s="37">
      <c r="A30" s="68" t="inlineStr">
        <is>
          <t>RF-E-023</t>
        </is>
      </c>
      <c r="B30" s="69" t="inlineStr">
        <is>
          <t>Módulo de Atores de Ameaça e Inteligência APT</t>
        </is>
      </c>
      <c r="C30" s="69" t="inlineStr">
        <is>
          <t>- Incluir visão histórica do perfil do ator com assinaturas passadas e atuais.
- Filtrar por setor, região geográfica, motivação, origem do ator e outros critérios.
- Produzir perfilamento e hipóteses de atribuição sobre atores ou grupos de ameaça com base em evidências, grau de confiança e limitações conhecidas, sem exigir a identificação de pessoas naturais.
- Mesclar atores que operam sob diferentes aliases em várias fontes para uma visão unificada.
- Incorporar TTPs do framework MITRE ATT&amp;CK para atribuição de atores com estrutura padronizada.
- Possuir catálogo com no mínimo 6 milhões de atores para análise e investigação.
- Incluir inteligência sobre atores patrocinados por Estados (nation-state actors).
- Consolidar identidades online do ator em visão unificada, cruzando múltiplas camadas de dados.</t>
        </is>
      </c>
      <c r="D30" s="82" t="inlineStr">
        <is>
          <t>Obrigatório / Eliminatório</t>
        </is>
      </c>
      <c r="E30" s="83" t="n">
        <v>0</v>
      </c>
      <c r="F30"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7.7.</t>
        </is>
      </c>
      <c r="G30" s="110" t="inlineStr">
        <is>
          <t>Avaliação documental para NF/VTI; PoC posterior da convocada, na amostra comum aprovada.</t>
        </is>
      </c>
      <c r="H30" s="69" t="inlineStr">
        <is>
          <t>Todos os subitens do bloco deverão ser comprovados; cada subitem conserva natureza eliminatória autônoma. A referência numérica a catálogo de atores da coluna C submete-se à regra 6 das Instruções: limiar de base sem justificativa autônoma não opera como mínimo eliminatório. A quantidade não foi validada por esta consolidação.</t>
        </is>
      </c>
      <c r="I30" s="110" t="inlineStr">
        <is>
          <t>Não atendimento material de subitem eliminatório reprova na fase cabível; pendência formal deve ser resolvida antes da conclusão.</t>
        </is>
      </c>
      <c r="J30" s="78" t="n"/>
      <c r="K30" s="78" t="n"/>
      <c r="L30" s="78" t="n"/>
      <c r="M30" s="78" t="n"/>
      <c r="N30" s="78" t="n"/>
      <c r="O30" s="79" t="n"/>
      <c r="P30" s="80" t="n">
        <f>IF(AND(J30="Atende integralmente",ISNUMBER(O30),O30=E30),O30,0)</f>
        <v>0</v>
      </c>
      <c r="Q30" s="84" t="n"/>
      <c r="R30" s="78" t="n"/>
    </row>
    <row r="31" ht="409.5" customHeight="1" s="37">
      <c r="A31" s="74" t="inlineStr">
        <is>
          <t>RF-E-024</t>
        </is>
      </c>
      <c r="B31" s="75" t="inlineStr">
        <is>
          <t>Módulo de Proteção de Identidade</t>
        </is>
      </c>
      <c r="C31" s="75" t="inlineStr">
        <is>
          <t>- Analisar logs de infostealers para detectar credenciais comprometidas e outros dados sensíveis.
- Usar machine learning para avaliar automaticamente a severidade de incidentes com base em indicadores e histórico.
- Categorizar automaticamente incidentes em categorias predefinidas usando análise contextual.
- Classificar ameaças automaticamente com feeds de inteligência e análise avançada.
- Permitir download de arquivos de bot em formato ZIP diretamente do módulo.
- Integrar com múltiplas soluções via playbooks, APIs e webhooks sem necessidade de programação adicional.
- Oferecer gerenciamento robusto de workspaces multi-tenant com segregação de dados e controle de acesso.
- Classificar ameaças por tipo de dado comprometido e contexto: ransomware, vazamento de credenciais, acesso a infraestrutura.
- Remover automaticamente duplicidades de incidentes por username, password e URL, evitando fadiga de analistas.
- Rastrear logs completos de infostealer e listas compiladas de credenciais.
- Monitorar FQDNs, plataformas SaaS, endereços de e-mail e IPs do InPACTA/Cliente.
- Detectar todos os detalhes do bot: credenciais, IP, serviços associados, nome do infostealer, hostname e username da máquina.
- Buscar em campos de incidentes: Service, Username, Password, Bot IP, Bot ID e Incident ID.
- Disponibilizar linha do tempo das infecções de bots com detalhes de origem e metadados contextuais.
- Diferenciar credenciais de servidores/funcionários e usuários externos.
- Emitir alertas de roubo de identidade com todos os pontos de dados necessários para resposta rápida.
- Disponibilizar política de senha personalizável por parâmetros configurados pelo InPACTA/Cliente.
- Permitir regras configuráveis de supressão e deduplicação de incidentes irrelevantes ou repetidos, com trilha de auditoria e possibilidade de revisão humana.
- Emitir alertas em tempo real via webhook para respostas preventivas.
- Exibir Hostname e Username da máquina infectada para identificação rápida do dispositivo e usuário afetado.</t>
        </is>
      </c>
      <c r="D31" s="76" t="inlineStr">
        <is>
          <t>Obrigatório / Eliminatório</t>
        </is>
      </c>
      <c r="E31" s="77" t="n">
        <v>0</v>
      </c>
      <c r="F31"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7.8.</t>
        </is>
      </c>
      <c r="G31" s="115" t="inlineStr">
        <is>
          <t>Avaliação documental para NF/VTI; PoC posterior da convocada, na amostra comum aprovada.</t>
        </is>
      </c>
      <c r="H31" s="75" t="inlineStr">
        <is>
          <t>Todos os subitens do bloco deverão ser comprovados; cada subitem conserva natureza eliminatória autônoma.</t>
        </is>
      </c>
      <c r="I31" s="115" t="inlineStr">
        <is>
          <t>Não atendimento material de subitem eliminatório reprova na fase cabível; pendência formal deve ser resolvida antes da conclusão.</t>
        </is>
      </c>
      <c r="J31" s="78" t="n"/>
      <c r="K31" s="78" t="n"/>
      <c r="L31" s="78" t="n"/>
      <c r="M31" s="78" t="n"/>
      <c r="N31" s="78" t="n"/>
      <c r="O31" s="79" t="n"/>
      <c r="P31" s="80" t="n">
        <f>IF(AND(J31="Atende integralmente",ISNUMBER(O31),O31=E31),O31,0)</f>
        <v>0</v>
      </c>
      <c r="Q31" s="81" t="n"/>
      <c r="R31" s="78" t="n"/>
    </row>
    <row r="32" ht="374.05" customHeight="1" s="37">
      <c r="A32" s="68" t="inlineStr">
        <is>
          <t>RF-E-025</t>
        </is>
      </c>
      <c r="B32" s="110" t="inlineStr">
        <is>
          <t>Módulo de Proteção de Marca</t>
        </is>
      </c>
      <c r="C32" s="69" t="inlineStr">
        <is>
          <t>- Identificar domínios recém-registrados semelhantes à marca do InPACTA/Cliente para prevenir falsificação e ataques de phishing.
- Auxiliar na remoção de websites fraudulentos e contas de redes sociais que prejudicam a marca.
- Fornecer dados completos de WHOIS de domínios suspeitos para investigações e possíveis ações legais.
- Monitorar redes sociais em busca de uso não autorizado ou malicioso do nome da marca.
- Identificar e sinalizar sites que imitam a marca para roubar dados de usuários.
Item-base
- Detectar domínios similares, contas falsas, abuso em redes sociais e suportar procedimentos de takedown.</t>
        </is>
      </c>
      <c r="D32" s="82" t="inlineStr">
        <is>
          <t>Obrigatório / Eliminatório</t>
        </is>
      </c>
      <c r="E32" s="83" t="n">
        <v>0</v>
      </c>
      <c r="F32"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7.9.</t>
        </is>
      </c>
      <c r="G32" s="110" t="inlineStr">
        <is>
          <t>Avaliação documental para NF/VTI; PoC posterior da convocada, na amostra comum aprovada.</t>
        </is>
      </c>
      <c r="H32" s="69" t="inlineStr">
        <is>
          <t>Todos os subitens do bloco deverão ser comprovados; cada subitem conserva natureza eliminatória autônoma.</t>
        </is>
      </c>
      <c r="I32" s="110" t="inlineStr">
        <is>
          <t>Não atendimento material de subitem eliminatório reprova na fase cabível; pendência formal deve ser resolvida antes da conclusão.</t>
        </is>
      </c>
      <c r="J32" s="78" t="n"/>
      <c r="K32" s="78" t="n"/>
      <c r="L32" s="78" t="n"/>
      <c r="M32" s="78" t="n"/>
      <c r="N32" s="78" t="n"/>
      <c r="O32" s="79" t="n"/>
      <c r="P32" s="80" t="n">
        <f>IF(AND(J32="Atende integralmente",ISNUMBER(O32),O32=E32),O32,0)</f>
        <v>0</v>
      </c>
      <c r="Q32" s="84" t="n"/>
      <c r="R32" s="78" t="n"/>
    </row>
    <row r="33" ht="246.65" customHeight="1" s="37">
      <c r="A33" s="74" t="inlineStr">
        <is>
          <t>RF-E-026</t>
        </is>
      </c>
      <c r="B33" s="75" t="inlineStr">
        <is>
          <t>Módulo de Indicadores de Comprometimento</t>
        </is>
      </c>
      <c r="C33" s="75" t="inlineStr">
        <is>
          <t>- Suportar STIX/TAXII para compartilhamento e ingestão automatizados de inteligência com TIPs e SIEMs.
- Coletar e validar IoCs continuamente em tempo real de múltiplas fontes.
- Adicionar centenas a milhares de novos IoCs diariamente de múltiplas fontes.
- Atribuir automaticamente IoCs a atores conhecidos, famílias de malware e campanhas.
- Disponibilizar integrações via API com SIEM, SOAR e TIP para otimizar fluxos e automatizar ingestão de alertas.</t>
        </is>
      </c>
      <c r="D33" s="76" t="inlineStr">
        <is>
          <t>Obrigatório / Eliminatório</t>
        </is>
      </c>
      <c r="E33" s="77" t="n">
        <v>0</v>
      </c>
      <c r="F33"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7.10.</t>
        </is>
      </c>
      <c r="G33" s="115" t="inlineStr">
        <is>
          <t>Avaliação documental para NF/VTI; PoC posterior da convocada, na amostra comum aprovada.</t>
        </is>
      </c>
      <c r="H33" s="75" t="inlineStr">
        <is>
          <t>Todos os subitens do bloco deverão ser comprovados; cada subitem conserva natureza eliminatória autônoma.</t>
        </is>
      </c>
      <c r="I33" s="115" t="inlineStr">
        <is>
          <t>Não atendimento material de subitem eliminatório reprova na fase cabível; pendência formal deve ser resolvida antes da conclusão.</t>
        </is>
      </c>
      <c r="J33" s="78" t="n"/>
      <c r="K33" s="78" t="n"/>
      <c r="L33" s="78" t="n"/>
      <c r="M33" s="78" t="n"/>
      <c r="N33" s="78" t="n"/>
      <c r="O33" s="79" t="n"/>
      <c r="P33" s="80" t="n">
        <f>IF(AND(J33="Atende integralmente",ISNUMBER(O33),O33=E33),O33,0)</f>
        <v>0</v>
      </c>
      <c r="Q33" s="81" t="n"/>
      <c r="R33" s="78" t="n"/>
    </row>
    <row r="34" ht="409.5" customHeight="1" s="37">
      <c r="A34" s="68" t="inlineStr">
        <is>
          <t>RF-E-027</t>
        </is>
      </c>
      <c r="B34" s="69" t="inlineStr">
        <is>
          <t>Módulo de Mapeamento de Infraestrutura Maliciosa</t>
        </is>
      </c>
      <c r="C34" s="69" t="inlineStr">
        <is>
          <t>- Fornecer descoberta e mapeamento automatizados da infraestrutura de agentes de ameaça.
- Identificar e classificar a função de entidades maliciosas (por exemplo: C2, proxy, servidor de salto).
- Fornecer mapeamento visual de ameaças e visualização de relacionamentos.
- Suportar a integração de fontes de dados externas, como logs NetFlow e IOCs fornecidos pelo InPACTA/Cliente.
- Possuir recursos para identificar potenciais vítimas de campanhas de ameaças.
- Oferecer gerenciamento centralizado de casos para administrar investigações de ameaças.
- Fornecer informações detalhadas sobre os ativos, incluindo dados de portas, detalhes de DNS e pontuações de reputação.
- Permitir a descoberta do encadeamento de infraestrutura e das hierarquias de controle de servidores.
- Fornecer fluxos de trabalho personalizáveis para filtrar e exportar informações com base em tags e classificações.
- Suportar a análise de indicadores baseados em IP e metadados de rede associados.
- Suportar a análise de FQDNs (Nomes de Domínio Totalmente Qualificados) e registros DNS.
- Suportar a análise de páginas web e artefatos web associados (por exemplo, sites de phishing).
- Suportar a análise de certificados SSL/TLS para mapear a infraestrutura relacionada.</t>
        </is>
      </c>
      <c r="D34" s="82" t="inlineStr">
        <is>
          <t>Obrigatório / Eliminatório</t>
        </is>
      </c>
      <c r="E34" s="83" t="n">
        <v>0</v>
      </c>
      <c r="F34"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7.11.</t>
        </is>
      </c>
      <c r="G34" s="110" t="inlineStr">
        <is>
          <t>Avaliação documental para NF/VTI; PoC posterior da convocada, na amostra comum aprovada.</t>
        </is>
      </c>
      <c r="H34" s="69" t="inlineStr">
        <is>
          <t>Todos os subitens do bloco deverão ser comprovados; cada subitem conserva natureza eliminatória autônoma.</t>
        </is>
      </c>
      <c r="I34" s="110" t="inlineStr">
        <is>
          <t>Não atendimento material de subitem eliminatório reprova na fase cabível; pendência formal deve ser resolvida antes da conclusão.</t>
        </is>
      </c>
      <c r="J34" s="78" t="n"/>
      <c r="K34" s="78" t="n"/>
      <c r="L34" s="78" t="n"/>
      <c r="M34" s="78" t="n"/>
      <c r="N34" s="78" t="n"/>
      <c r="O34" s="79" t="n"/>
      <c r="P34" s="80" t="n">
        <f>IF(AND(J34="Atende integralmente",ISNUMBER(O34),O34=E34),O34,0)</f>
        <v>0</v>
      </c>
      <c r="Q34" s="84" t="n"/>
      <c r="R34" s="78" t="n"/>
    </row>
    <row r="35" ht="155.6" customHeight="1" s="37">
      <c r="A35" s="74" t="inlineStr">
        <is>
          <t>RF-C-028</t>
        </is>
      </c>
      <c r="B35" s="115" t="inlineStr">
        <is>
          <t>Reconhecimento de mercado e validação por usuários corporativos</t>
        </is>
      </c>
      <c r="C35" s="75" t="inlineStr">
        <is>
          <t>- Ofertar reconhecimento de mercado em plataforma independente de avaliações de usuários corporativos verificados, voltada à análise de tecnologias empresariais, tais como plataforma independente de avaliações verificadas ou estudo reconhecido de mercado, admitida fonte equivalente tecnicamente idônea</t>
        </is>
      </c>
      <c r="D35" s="76" t="inlineStr">
        <is>
          <t>Complementar</t>
        </is>
      </c>
      <c r="E35" s="77" t="n">
        <v>0</v>
      </c>
      <c r="F35" s="115" t="inlineStr">
        <is>
          <t>Verificação documental de fontes independentes e evidências equivalentes. Não se exige teste funcional do reconhecimento de mercado. Ref.: Anexo I, itens 7.12 e 17.7.1.</t>
        </is>
      </c>
      <c r="G35" s="75" t="inlineStr">
        <is>
          <t>Análise documental complementar; fora do teste funcional.</t>
        </is>
      </c>
      <c r="H35" s="75" t="inlineStr">
        <is>
          <t>Evidência complementar, com equivalência admitida, peso zero e sem efeito eliminatório.</t>
        </is>
      </c>
      <c r="I35" s="75" t="inlineStr">
        <is>
          <t>Ausência sem efeito de pontuação ou eliminação.</t>
        </is>
      </c>
      <c r="J35" s="78" t="n"/>
      <c r="K35" s="78" t="n"/>
      <c r="L35" s="78" t="n"/>
      <c r="M35" s="78" t="n"/>
      <c r="N35" s="78" t="n"/>
      <c r="O35" s="79" t="n"/>
      <c r="P35" s="80" t="n">
        <f>IF(AND(J35="Atende integralmente",ISNUMBER(O35),O35=E35),O35,0)</f>
        <v>0</v>
      </c>
      <c r="Q35" s="81" t="n"/>
      <c r="R35" s="78" t="n"/>
    </row>
    <row r="36" ht="152" customHeight="1" s="37">
      <c r="A36" s="68" t="inlineStr">
        <is>
          <t>RF-E-029</t>
        </is>
      </c>
      <c r="B36" s="69" t="inlineStr">
        <is>
          <t>Dimensionamento mínimo</t>
        </is>
      </c>
      <c r="C36" s="110" t="inlineStr">
        <is>
          <t>- Suportar, no mínimo, 5 usuários nomeados, incluindo ao menos 1 administrador; o monitoramento de 20 domínios institucionais e de 100 endereços de correio eletrônico prioritários; e 100 consultas avançadas por mês. Os números definem capacidade de suporte, não consumo mínimo do CLIENTE.</t>
        </is>
      </c>
      <c r="D36" s="82" t="inlineStr">
        <is>
          <t>Obrigatório / Eliminatório</t>
        </is>
      </c>
      <c r="E36" s="83" t="n">
        <v>0</v>
      </c>
      <c r="F36" s="110" t="inlineStr">
        <is>
          <t>Fase documental: documentação técnica e evidências verificáveis da capacidade disponível, identificando subitem, versão, componente e licença; não basta declaração. Confirmação na PoC, se convocado: Demonstração em PoC e/ou documentação técnica objetiva. Ref.: Anexo I, itens 7.13.1 a 7.13.4.</t>
        </is>
      </c>
      <c r="G36" s="110" t="inlineStr">
        <is>
          <t>Avaliação documental para NF/VTI; PoC posterior da convocada, na amostra comum aprovada.</t>
        </is>
      </c>
      <c r="H36" s="69" t="inlineStr">
        <is>
          <t>Todos os subitens do bloco deverão ser comprovados; cada subitem conserva natureza eliminatória autônoma.</t>
        </is>
      </c>
      <c r="I36" s="110" t="inlineStr">
        <is>
          <t>Não atendimento material de subitem eliminatório reprova na fase cabível; pendência formal deve ser resolvida antes da conclusão.</t>
        </is>
      </c>
      <c r="J36" s="78" t="n"/>
      <c r="K36" s="78" t="n"/>
      <c r="L36" s="78" t="n"/>
      <c r="M36" s="78" t="n"/>
      <c r="N36" s="78" t="n"/>
      <c r="O36" s="79" t="n"/>
      <c r="P36" s="80" t="n">
        <f>IF(AND(J36="Atende integralmente",ISNUMBER(O36),O36=E36),O36,0)</f>
        <v>0</v>
      </c>
      <c r="Q36" s="84" t="n"/>
      <c r="R36" s="78" t="n"/>
    </row>
    <row r="37" ht="152" customHeight="1" s="37">
      <c r="A37" s="74" t="inlineStr">
        <is>
          <t>RF-E-030</t>
        </is>
      </c>
      <c r="B37" s="75" t="inlineStr">
        <is>
          <t>Dimensionamento mínimo</t>
        </is>
      </c>
      <c r="C37" s="115" t="inlineStr">
        <is>
          <t>- Suportar, no mínimo, o monitoramento contínuo de 500 objetos de interesse e de 10 identificadores de marca; 30 solicitações de remoção, bloqueio, denúncia ou notificação durante a vigência; e 4 mapeamentos de infraestrutura maliciosa por mês. Os números definem capacidade de suporte, não consumo mínimo do CLIENTE.</t>
        </is>
      </c>
      <c r="D37" s="76" t="inlineStr">
        <is>
          <t>Obrigatório / Eliminatório</t>
        </is>
      </c>
      <c r="E37" s="77" t="n">
        <v>0</v>
      </c>
      <c r="F37" s="115" t="inlineStr">
        <is>
          <t>Fase documental: documentação técnica e evidências verificáveis da capacidade disponível, identificando subitem, versão, componente e licença; não basta declaração. Confirmação na PoC, se convocado: Demonstração em PoC e/ou documentação técnica objetiva. Ref.: Anexo I, itens 7.13.5 a 7.13.8.</t>
        </is>
      </c>
      <c r="G37" s="115" t="inlineStr">
        <is>
          <t>Avaliação documental para NF/VTI; PoC posterior da convocada, na amostra comum aprovada.</t>
        </is>
      </c>
      <c r="H37" s="75" t="inlineStr">
        <is>
          <t>Todos os subitens do bloco deverão ser comprovados; cada subitem conserva natureza eliminatória autônoma.</t>
        </is>
      </c>
      <c r="I37" s="115" t="inlineStr">
        <is>
          <t>Não atendimento material de subitem eliminatório reprova na fase cabível; pendência formal deve ser resolvida antes da conclusão.</t>
        </is>
      </c>
      <c r="J37" s="78" t="n"/>
      <c r="K37" s="78" t="n"/>
      <c r="L37" s="78" t="n"/>
      <c r="M37" s="78" t="n"/>
      <c r="N37" s="78" t="n"/>
      <c r="O37" s="79" t="n"/>
      <c r="P37" s="80" t="n">
        <f>IF(AND(J37="Atende integralmente",ISNUMBER(O37),O37=E37),O37,0)</f>
        <v>0</v>
      </c>
      <c r="Q37" s="81" t="n"/>
      <c r="R37" s="78" t="n"/>
    </row>
    <row r="38" ht="228.45" customHeight="1" s="37">
      <c r="A38" s="68" t="inlineStr">
        <is>
          <t>RF-E-031</t>
        </is>
      </c>
      <c r="B38" s="69" t="inlineStr">
        <is>
          <t>Visão Geral da Solução</t>
        </is>
      </c>
      <c r="C38" s="69" t="inlineStr">
        <is>
          <t>- Triagem, identificação e validação de credenciais vazadas, campanhas de phishing e abuso de marca.
- Identificação de indicadores de comprometimento, assinaturas de software malicioso e atores de ameaças ativos.
- Resposta a solicitações personalizadas de informação.
- Caça eficaz a ameaças para alertar equipes sobre ameaças emergentes, direcionadas ao setor, infraestrutura e geografia do InPACTA/Cliente.</t>
        </is>
      </c>
      <c r="D38" s="82" t="inlineStr">
        <is>
          <t>Obrigatório / Eliminatório</t>
        </is>
      </c>
      <c r="E38" s="83" t="n">
        <v>0</v>
      </c>
      <c r="F38"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8.1.</t>
        </is>
      </c>
      <c r="G38" s="110" t="inlineStr">
        <is>
          <t>Avaliação documental para NF/VTI; PoC posterior da convocada, na amostra comum aprovada.</t>
        </is>
      </c>
      <c r="H38" s="69" t="inlineStr">
        <is>
          <t>Todos os subitens do bloco deverão ser comprovados; cada subitem conserva natureza eliminatória autônoma.</t>
        </is>
      </c>
      <c r="I38" s="110" t="inlineStr">
        <is>
          <t>Não atendimento material de subitem eliminatório reprova na fase cabível; pendência formal deve ser resolvida antes da conclusão.</t>
        </is>
      </c>
      <c r="J38" s="78" t="n"/>
      <c r="K38" s="78" t="n"/>
      <c r="L38" s="78" t="n"/>
      <c r="M38" s="78" t="n"/>
      <c r="N38" s="78" t="n"/>
      <c r="O38" s="79" t="n"/>
      <c r="P38" s="80" t="n">
        <f>IF(AND(J38="Atende integralmente",ISNUMBER(O38),O38=E38),O38,0)</f>
        <v>0</v>
      </c>
      <c r="Q38" s="84" t="n"/>
      <c r="R38" s="78" t="n"/>
    </row>
    <row r="39" ht="283" customHeight="1" s="37">
      <c r="A39" s="74" t="inlineStr">
        <is>
          <t>RF-E-032</t>
        </is>
      </c>
      <c r="B39" s="75" t="inlineStr">
        <is>
          <t>Agentes para os Setores Público</t>
        </is>
      </c>
      <c r="C39" s="75" t="inlineStr">
        <is>
          <t>- Agente para ambientes provedores de serviços gerenciados de segurança (MSSP): responsável por monitorar, triar e responder a ameaças específicas de uma organização, integrado aos módulos de inteligência, provedores de identidade, ferramentas de segurança e plataformas de dados corporativos.
- Disponibilizar agente especializado para órgãos públicos, com acesso integrado à base de inteligência dentro do escopo contratado, dos perfis de acesso e das licenças aplicáveis, apoiando investigações, solicitações de informação e análise de atores e campanhas.</t>
        </is>
      </c>
      <c r="D39" s="76" t="inlineStr">
        <is>
          <t>Obrigatório / Eliminatório</t>
        </is>
      </c>
      <c r="E39" s="77" t="n">
        <v>0</v>
      </c>
      <c r="F39"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8.2.</t>
        </is>
      </c>
      <c r="G39" s="115" t="inlineStr">
        <is>
          <t>Avaliação documental para NF/VTI; PoC posterior da convocada, na amostra comum aprovada.</t>
        </is>
      </c>
      <c r="H39" s="75" t="inlineStr">
        <is>
          <t>Todos os subitens do bloco deverão ser comprovados; cada subitem conserva natureza eliminatória autônoma.</t>
        </is>
      </c>
      <c r="I39" s="115" t="inlineStr">
        <is>
          <t>Não atendimento material de subitem eliminatório reprova na fase cabível; pendência formal deve ser resolvida antes da conclusão.</t>
        </is>
      </c>
      <c r="J39" s="78" t="n"/>
      <c r="K39" s="78" t="n"/>
      <c r="L39" s="78" t="n"/>
      <c r="M39" s="78" t="n"/>
      <c r="N39" s="78" t="n"/>
      <c r="O39" s="79" t="n"/>
      <c r="P39" s="80" t="n">
        <f>IF(AND(J39="Atende integralmente",ISNUMBER(O39),O39=E39),O39,0)</f>
        <v>0</v>
      </c>
      <c r="Q39" s="81" t="n"/>
      <c r="R39" s="78" t="n"/>
    </row>
    <row r="40" ht="173.8" customHeight="1" s="37">
      <c r="A40" s="68" t="inlineStr">
        <is>
          <t>RF-E-033</t>
        </is>
      </c>
      <c r="B40" s="69" t="inlineStr">
        <is>
          <t>Interação por Meio de Ferramentas de Colaboração</t>
        </is>
      </c>
      <c r="C40" s="69" t="inlineStr">
        <is>
          <t>- Integração com plataformas de mensageria corporativa, correio eletrônico e portal dedicado.
- Permitir a comunicação de alertas, investigações, recomendações e ações automatizadas ou semiautomatizadas pelos canais integrados, observadas as políticas, aprovações e a rastreabilidade definidas pela INPACTA/CLIENTE.</t>
        </is>
      </c>
      <c r="D40" s="82" t="inlineStr">
        <is>
          <t>Obrigatório / Eliminatório</t>
        </is>
      </c>
      <c r="E40" s="83" t="n">
        <v>0</v>
      </c>
      <c r="F40"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8.3.</t>
        </is>
      </c>
      <c r="G40" s="110" t="inlineStr">
        <is>
          <t>Avaliação documental para NF/VTI; PoC posterior da convocada, na amostra comum aprovada.</t>
        </is>
      </c>
      <c r="H40" s="69" t="inlineStr">
        <is>
          <t>Todos os subitens do bloco deverão ser comprovados; cada subitem conserva natureza eliminatória autônoma.</t>
        </is>
      </c>
      <c r="I40" s="110" t="inlineStr">
        <is>
          <t>Não atendimento material de subitem eliminatório reprova na fase cabível; pendência formal deve ser resolvida antes da conclusão.</t>
        </is>
      </c>
      <c r="J40" s="78" t="n"/>
      <c r="K40" s="78" t="n"/>
      <c r="L40" s="78" t="n"/>
      <c r="M40" s="78" t="n"/>
      <c r="N40" s="78" t="n"/>
      <c r="O40" s="79" t="n"/>
      <c r="P40" s="80" t="n">
        <f>IF(AND(J40="Atende integralmente",ISNUMBER(O40),O40=E40),O40,0)</f>
        <v>0</v>
      </c>
      <c r="Q40" s="84" t="n"/>
      <c r="R40" s="78" t="n"/>
    </row>
    <row r="41" ht="192" customHeight="1" s="37">
      <c r="A41" s="74" t="inlineStr">
        <is>
          <t>RF-E-034</t>
        </is>
      </c>
      <c r="B41" s="75" t="inlineStr">
        <is>
          <t>Acesso à Base de Dados de Inteligência de Ameaças</t>
        </is>
      </c>
      <c r="C41" s="75" t="inlineStr">
        <is>
          <t>- Garantir que os agentes digitais possuam acesso integrado à base de dados de inteligência de ameaças do fornecedor, contemplando, no mínimo, as seguintes fontes: credenciais vazadas; inteligência técnica sobre ameaças; discussões em ambientes associados a atividades maliciosas; campanhas de phishing e abuso de marca; destaques diários de ameaças; perfilamento de atores de ameaças.</t>
        </is>
      </c>
      <c r="D41" s="76" t="inlineStr">
        <is>
          <t>Obrigatório / Eliminatório</t>
        </is>
      </c>
      <c r="E41" s="77" t="n">
        <v>0</v>
      </c>
      <c r="F41"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8.4.</t>
        </is>
      </c>
      <c r="G41" s="115" t="inlineStr">
        <is>
          <t>Avaliação documental para NF/VTI; PoC posterior da convocada, na amostra comum aprovada.</t>
        </is>
      </c>
      <c r="H41" s="75" t="inlineStr">
        <is>
          <t>Todos os subitens do bloco deverão ser comprovados; cada subitem conserva natureza eliminatória autônoma.</t>
        </is>
      </c>
      <c r="I41" s="115" t="inlineStr">
        <is>
          <t>Não atendimento material de subitem eliminatório reprova na fase cabível; pendência formal deve ser resolvida antes da conclusão.</t>
        </is>
      </c>
      <c r="J41" s="78" t="n"/>
      <c r="K41" s="78" t="n"/>
      <c r="L41" s="78" t="n"/>
      <c r="M41" s="78" t="n"/>
      <c r="N41" s="78" t="n"/>
      <c r="O41" s="79" t="n"/>
      <c r="P41" s="80" t="n">
        <f>IF(AND(J41="Atende integralmente",ISNUMBER(O41),O41=E41),O41,0)</f>
        <v>0</v>
      </c>
      <c r="Q41" s="81" t="n"/>
      <c r="R41" s="78" t="n"/>
    </row>
    <row r="42" ht="173.8" customHeight="1" s="37">
      <c r="A42" s="68" t="inlineStr">
        <is>
          <t>RF-E-035</t>
        </is>
      </c>
      <c r="B42" s="69" t="inlineStr">
        <is>
          <t>Ações Orquestradas, Validação de Credenciais e Relatórios</t>
        </is>
      </c>
      <c r="C42" s="69" t="inlineStr">
        <is>
          <t>- Permitir respostas automatizadas ou semiautomatizadas somente conforme políticas, fluxos de aprovação, perfis de acesso e níveis de autonomia previamente definidos pela INPACTA/CLIENTE.
- Geração de relatórios de solicitações de informação e perfis de atores de ameaças, garantindo transparência, conformidade e eficiência operacional.</t>
        </is>
      </c>
      <c r="D42" s="82" t="inlineStr">
        <is>
          <t>Obrigatório / Eliminatório</t>
        </is>
      </c>
      <c r="E42" s="83" t="n">
        <v>0</v>
      </c>
      <c r="F42"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8.5.</t>
        </is>
      </c>
      <c r="G42" s="110" t="inlineStr">
        <is>
          <t>Avaliação documental para NF/VTI; PoC posterior da convocada, na amostra comum aprovada.</t>
        </is>
      </c>
      <c r="H42" s="69" t="inlineStr">
        <is>
          <t>Todos os subitens do bloco deverão ser comprovados; cada subitem conserva natureza eliminatória autônoma.</t>
        </is>
      </c>
      <c r="I42" s="110" t="inlineStr">
        <is>
          <t>Não atendimento material de subitem eliminatório reprova na fase cabível; pendência formal deve ser resolvida antes da conclusão.</t>
        </is>
      </c>
      <c r="J42" s="78" t="n"/>
      <c r="K42" s="78" t="n"/>
      <c r="L42" s="78" t="n"/>
      <c r="M42" s="78" t="n"/>
      <c r="N42" s="78" t="n"/>
      <c r="O42" s="79" t="n"/>
      <c r="P42" s="80" t="n">
        <f>IF(AND(J42="Atende integralmente",ISNUMBER(O42),O42=E42),O42,0)</f>
        <v>0</v>
      </c>
      <c r="Q42" s="84" t="n"/>
      <c r="R42" s="78" t="n"/>
    </row>
    <row r="43" ht="264.75" customHeight="1" s="37">
      <c r="A43" s="74" t="inlineStr">
        <is>
          <t>RF-E-036</t>
        </is>
      </c>
      <c r="B43" s="75" t="inlineStr">
        <is>
          <t>Integração com Sistemas de Segurança de Endpoint e Rede</t>
        </is>
      </c>
      <c r="C43" s="75" t="inlineStr">
        <is>
          <t>- Ampliação da visibilidade sobre eventos e alertas de segurança nos endpoints e na rede.
- Permitir respostas automatizadas a partir da inteligência gerada pelos agentes apenas por playbooks expressamente aprovados ou mediante autorização humana prévia, conforme o potencial de impacto.
- Atuar como camada assistiva de inteligência e orquestração controlada nos domínios de segurança integrados, sem substituir a validação humana em decisões críticas.</t>
        </is>
      </c>
      <c r="D43" s="76" t="inlineStr">
        <is>
          <t>Obrigatório / Eliminatório</t>
        </is>
      </c>
      <c r="E43" s="77" t="n">
        <v>0</v>
      </c>
      <c r="F43"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8.6.</t>
        </is>
      </c>
      <c r="G43" s="115" t="inlineStr">
        <is>
          <t>Avaliação documental para NF/VTI; PoC posterior da convocada, na amostra comum aprovada.</t>
        </is>
      </c>
      <c r="H43" s="75" t="inlineStr">
        <is>
          <t>Todos os subitens do bloco deverão ser comprovados; cada subitem conserva natureza eliminatória autônoma.</t>
        </is>
      </c>
      <c r="I43" s="115" t="inlineStr">
        <is>
          <t>Não atendimento material de subitem eliminatório reprova na fase cabível; pendência formal deve ser resolvida antes da conclusão.</t>
        </is>
      </c>
      <c r="J43" s="78" t="n"/>
      <c r="K43" s="78" t="n"/>
      <c r="L43" s="78" t="n"/>
      <c r="M43" s="78" t="n"/>
      <c r="N43" s="78" t="n"/>
      <c r="O43" s="79" t="n"/>
      <c r="P43" s="80" t="n">
        <f>IF(AND(J43="Atende integralmente",ISNUMBER(O43),O43=E43),O43,0)</f>
        <v>0</v>
      </c>
      <c r="Q43" s="81" t="n"/>
      <c r="R43" s="78" t="n"/>
    </row>
    <row r="44" ht="210.25" customHeight="1" s="37">
      <c r="A44" s="68" t="inlineStr">
        <is>
          <t>RF-E-037</t>
        </is>
      </c>
      <c r="B44" s="69" t="inlineStr">
        <is>
          <t>Integração com Gerenciamento de Identidade e Acesso (IAM/IdP)</t>
        </is>
      </c>
      <c r="C44" s="69" t="inlineStr">
        <is>
          <t>- Fornecimento de contexto organizacional e comportamental detalhado sobre contas comprometidas.
- Apoiar a investigação e a resposta a incidentes relacionados a identidades comprometidas, respeitados os fluxos de autorização, os perfis de acesso e as competências da INPACTA/CLIENTE.
- Compatibilidade com provedores de identidade amplamente utilizados no mercado.</t>
        </is>
      </c>
      <c r="D44" s="82" t="inlineStr">
        <is>
          <t>Obrigatório / Eliminatório</t>
        </is>
      </c>
      <c r="E44" s="83" t="n">
        <v>0</v>
      </c>
      <c r="F44"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8.7.</t>
        </is>
      </c>
      <c r="G44" s="110" t="inlineStr">
        <is>
          <t>Avaliação documental para NF/VTI; PoC posterior da convocada, na amostra comum aprovada.</t>
        </is>
      </c>
      <c r="H44" s="69" t="inlineStr">
        <is>
          <t>Todos os subitens do bloco deverão ser comprovados; cada subitem conserva natureza eliminatória autônoma.</t>
        </is>
      </c>
      <c r="I44" s="110" t="inlineStr">
        <is>
          <t>Não atendimento material de subitem eliminatório reprova na fase cabível; pendência formal deve ser resolvida antes da conclusão.</t>
        </is>
      </c>
      <c r="J44" s="78" t="n"/>
      <c r="K44" s="78" t="n"/>
      <c r="L44" s="78" t="n"/>
      <c r="M44" s="78" t="n"/>
      <c r="N44" s="78" t="n"/>
      <c r="O44" s="79" t="n"/>
      <c r="P44" s="80" t="n">
        <f>IF(AND(J44="Atende integralmente",ISNUMBER(O44),O44=E44),O44,0)</f>
        <v>0</v>
      </c>
      <c r="Q44" s="84" t="n"/>
      <c r="R44" s="78" t="n"/>
    </row>
    <row r="45" ht="283" customHeight="1" s="37">
      <c r="A45" s="74" t="inlineStr">
        <is>
          <t>RF-E-038</t>
        </is>
      </c>
      <c r="B45" s="75" t="inlineStr">
        <is>
          <t>Validação Automatizada de Credenciais Comprometidas</t>
        </is>
      </c>
      <c r="C45" s="75" t="inlineStr">
        <is>
          <t>- Realizar validação automatizada e controlada de credenciais potencialmente comprometidas; a verificação em serviços publicamente acessíveis somente poderá ocorrer quando tecnicamente aplicável e expressamente autorizada pela INPACTA/CLIENTE.
- Geração de relatório consolidado com o resultado da validação, indicando o status de validade de cada credencial verificada.
- Atualização contínua do perfil de risco associado às identidades comprometidas com base nos resultados da validação.</t>
        </is>
      </c>
      <c r="D45" s="76" t="inlineStr">
        <is>
          <t>Obrigatório / Eliminatório</t>
        </is>
      </c>
      <c r="E45" s="77" t="n">
        <v>0</v>
      </c>
      <c r="F45"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8.10.</t>
        </is>
      </c>
      <c r="G45" s="115" t="inlineStr">
        <is>
          <t>Avaliação documental para NF/VTI; PoC posterior da convocada, na amostra comum aprovada.</t>
        </is>
      </c>
      <c r="H45" s="75" t="inlineStr">
        <is>
          <t>Todos os subitens do bloco deverão ser comprovados; cada subitem conserva natureza eliminatória autônoma.</t>
        </is>
      </c>
      <c r="I45" s="115" t="inlineStr">
        <is>
          <t>Não atendimento material de subitem eliminatório reprova na fase cabível; pendência formal deve ser resolvida antes da conclusão.</t>
        </is>
      </c>
      <c r="J45" s="78" t="n"/>
      <c r="K45" s="78" t="n"/>
      <c r="L45" s="78" t="n"/>
      <c r="M45" s="78" t="n"/>
      <c r="N45" s="78" t="n"/>
      <c r="O45" s="79" t="n"/>
      <c r="P45" s="80" t="n">
        <f>IF(AND(J45="Atende integralmente",ISNUMBER(O45),O45=E45),O45,0)</f>
        <v>0</v>
      </c>
      <c r="Q45" s="81" t="n"/>
      <c r="R45" s="78" t="n"/>
    </row>
    <row r="46" ht="173.8" customHeight="1" s="37">
      <c r="A46" s="68" t="inlineStr">
        <is>
          <t>RF-E-039</t>
        </is>
      </c>
      <c r="B46" s="69" t="inlineStr">
        <is>
          <t>Requisitos transversais das plataformas</t>
        </is>
      </c>
      <c r="C46" s="69" t="inlineStr">
        <is>
          <t>- Disponibilizar interface web segura, gestão de usuários e perfis, autenticação multifator, pesquisa, filtros, dashboards, alertas, notificações, casos, relatórios, exportações, registros temporais correlacionáveis, APIs ou conectores, monitoramento de saúde e interface, documentação operacional e suporte em língua portuguesa.</t>
        </is>
      </c>
      <c r="D46" s="82" t="inlineStr">
        <is>
          <t>Obrigatório / Eliminatório</t>
        </is>
      </c>
      <c r="E46" s="83" t="n">
        <v>0</v>
      </c>
      <c r="F46" s="110" t="inlineStr">
        <is>
          <t>Fase documental: documentação técnica e evidências verificáveis da capacidade disponível, identificando subitem, versão, componente e licença; não basta declaração. Confirmação na PoC, se convocado: Demonstração em PoC e/ou documentação técnica objetiva. Ref.: Anexo I, itens 9.1 a 9.7.</t>
        </is>
      </c>
      <c r="G46" s="110" t="inlineStr">
        <is>
          <t>Avaliação documental para NF/VTI; PoC posterior da convocada, na amostra comum aprovada.</t>
        </is>
      </c>
      <c r="H46" s="69" t="inlineStr">
        <is>
          <t>Todos os subitens do bloco deverão ser comprovados; cada subitem conserva natureza eliminatória autônoma.</t>
        </is>
      </c>
      <c r="I46" s="110" t="inlineStr">
        <is>
          <t>Não atendimento material de subitem eliminatório reprova na fase cabível; pendência formal deve ser resolvida antes da conclusão.</t>
        </is>
      </c>
      <c r="J46" s="78" t="n"/>
      <c r="K46" s="78" t="n"/>
      <c r="L46" s="78" t="n"/>
      <c r="M46" s="78" t="n"/>
      <c r="N46" s="78" t="n"/>
      <c r="O46" s="79" t="n"/>
      <c r="P46" s="80" t="n">
        <f>IF(AND(J46="Atende integralmente",ISNUMBER(O46),O46=E46),O46,0)</f>
        <v>0</v>
      </c>
      <c r="Q46" s="84" t="n"/>
      <c r="R46" s="78" t="n"/>
    </row>
    <row r="47" ht="138" customHeight="1" s="37">
      <c r="A47" s="74" t="inlineStr">
        <is>
          <t>RF-E-040</t>
        </is>
      </c>
      <c r="B47" s="75" t="inlineStr">
        <is>
          <t>Licenciamento e direitos de uso</t>
        </is>
      </c>
      <c r="C47" s="75" t="inlineStr">
        <is>
          <t>- Apresentar matriz de licenciamento suficiente para todos os módulos, usuários, ativos, integrações, APIs, armazenamento, suporte e direitos de uso, sem dependência de componente essencial não identificado e incluindo atualizações necessárias à continuidade.</t>
        </is>
      </c>
      <c r="D47" s="76" t="inlineStr">
        <is>
          <t>Obrigatório / Eliminatório</t>
        </is>
      </c>
      <c r="E47" s="77" t="n">
        <v>0</v>
      </c>
      <c r="F47" s="115" t="inlineStr">
        <is>
          <t>Fase documental: documentação técnica e evidências verificáveis da capacidade disponível, identificando subitem, versão, componente e licença; não basta declaração. Confirmação na PoC, se convocado: Demonstração em PoC e/ou documentação técnica objetiva. Ref.: Anexo I, itens 10.1 a 10.7.</t>
        </is>
      </c>
      <c r="G47" s="115" t="inlineStr">
        <is>
          <t>Avaliação documental para NF/VTI; PoC posterior da convocada, na amostra comum aprovada.</t>
        </is>
      </c>
      <c r="H47" s="75" t="inlineStr">
        <is>
          <t>Todos os subitens do bloco deverão ser comprovados; cada subitem conserva natureza eliminatória autônoma.</t>
        </is>
      </c>
      <c r="I47" s="115" t="inlineStr">
        <is>
          <t>Não atendimento material de subitem eliminatório reprova na fase cabível; pendência formal deve ser resolvida antes da conclusão.</t>
        </is>
      </c>
      <c r="J47" s="78" t="n"/>
      <c r="K47" s="78" t="n"/>
      <c r="L47" s="78" t="n"/>
      <c r="M47" s="78" t="n"/>
      <c r="N47" s="78" t="n"/>
      <c r="O47" s="79" t="n"/>
      <c r="P47" s="80" t="n">
        <f>IF(AND(J47="Atende integralmente",ISNUMBER(O47),O47=E47),O47,0)</f>
        <v>0</v>
      </c>
      <c r="Q47" s="81" t="n"/>
      <c r="R47" s="78" t="n"/>
    </row>
    <row r="48" ht="155.6" customHeight="1" s="37">
      <c r="A48" s="68" t="inlineStr">
        <is>
          <t>RF-E-041</t>
        </is>
      </c>
      <c r="B48" s="69" t="inlineStr">
        <is>
          <t>Segurança da informação e proteção de dados</t>
        </is>
      </c>
      <c r="C48" s="69" t="inlineStr">
        <is>
          <t>- Adotar controles de confidencialidade, integridade, disponibilidade, autenticidade, rastreabilidade, acesso, sessão, menor privilégio, criptografia, gestão de vulnerabilidades, comunicação de incidentes, proteção de dados e obrigações equivalentes para subcontratados e suboperadores.</t>
        </is>
      </c>
      <c r="D48" s="82" t="inlineStr">
        <is>
          <t>Obrigatório / Eliminatório</t>
        </is>
      </c>
      <c r="E48" s="83" t="n">
        <v>0</v>
      </c>
      <c r="F48" s="110" t="inlineStr">
        <is>
          <t>Fase documental: documentação técnica e evidências verificáveis da capacidade disponível, identificando subitem, versão, componente e licença; não basta declaração. Confirmação na PoC, se convocado: Demonstração em PoC e/ou documentação técnica objetiva. Ref.: Anexo I, itens 11.1 a 11.8.</t>
        </is>
      </c>
      <c r="G48" s="110" t="inlineStr">
        <is>
          <t>Avaliação documental para NF/VTI; PoC posterior da convocada, na amostra comum aprovada.</t>
        </is>
      </c>
      <c r="H48" s="69" t="inlineStr">
        <is>
          <t>Todos os subitens do bloco deverão ser comprovados; cada subitem conserva natureza eliminatória autônoma.</t>
        </is>
      </c>
      <c r="I48" s="110" t="inlineStr">
        <is>
          <t>Não atendimento material de subitem eliminatório reprova na fase cabível; pendência formal deve ser resolvida antes da conclusão.</t>
        </is>
      </c>
      <c r="J48" s="78" t="n"/>
      <c r="K48" s="78" t="n"/>
      <c r="L48" s="78" t="n"/>
      <c r="M48" s="78" t="n"/>
      <c r="N48" s="78" t="n"/>
      <c r="O48" s="79" t="n"/>
      <c r="P48" s="80" t="n">
        <f>IF(AND(J48="Atende integralmente",ISNUMBER(O48),O48=E48),O48,0)</f>
        <v>0</v>
      </c>
      <c r="Q48" s="84" t="n"/>
      <c r="R48" s="78" t="n"/>
    </row>
    <row r="49" ht="138" customHeight="1" s="37">
      <c r="A49" s="74" t="inlineStr">
        <is>
          <t>RF-E-042</t>
        </is>
      </c>
      <c r="B49" s="75" t="inlineStr">
        <is>
          <t>Integração, escalabilidade e governança</t>
        </is>
      </c>
      <c r="C49" s="75" t="inlineStr">
        <is>
          <t>- Operar com arquitetura modular, escalável e interoperável, correlacionar achados e evidências dos módulos, documentar integrações com autenticação segura e controle de versão e aplicar governança de mudanças sem criar bases paralelas não governadas.</t>
        </is>
      </c>
      <c r="D49" s="76" t="inlineStr">
        <is>
          <t>Obrigatório / Eliminatório</t>
        </is>
      </c>
      <c r="E49" s="77" t="n">
        <v>0</v>
      </c>
      <c r="F49" s="115" t="inlineStr">
        <is>
          <t>Fase documental: documentação técnica e evidências verificáveis da capacidade disponível, identificando subitem, versão, componente e licença; não basta declaração. Confirmação na PoC, se convocado: Demonstração em PoC e/ou documentação técnica objetiva. Ref.: Anexo I, itens 13.1 a 13.6.</t>
        </is>
      </c>
      <c r="G49" s="115" t="inlineStr">
        <is>
          <t>Avaliação documental para NF/VTI; PoC posterior da convocada, na amostra comum aprovada.</t>
        </is>
      </c>
      <c r="H49" s="75" t="inlineStr">
        <is>
          <t>Todos os subitens do bloco deverão ser comprovados; cada subitem conserva natureza eliminatória autônoma.</t>
        </is>
      </c>
      <c r="I49" s="115" t="inlineStr">
        <is>
          <t>Não atendimento material de subitem eliminatório reprova na fase cabível; pendência formal deve ser resolvida antes da conclusão.</t>
        </is>
      </c>
      <c r="J49" s="78" t="n"/>
      <c r="K49" s="78" t="n"/>
      <c r="L49" s="78" t="n"/>
      <c r="M49" s="78" t="n"/>
      <c r="N49" s="78" t="n"/>
      <c r="O49" s="79" t="n"/>
      <c r="P49" s="80" t="n">
        <f>IF(AND(J49="Atende integralmente",ISNUMBER(O49),O49=E49),O49,0)</f>
        <v>0</v>
      </c>
      <c r="Q49" s="81" t="n"/>
      <c r="R49" s="78" t="n"/>
    </row>
    <row r="50" ht="319.4" customHeight="1" s="37">
      <c r="A50" s="68" t="inlineStr">
        <is>
          <t>RF-P-001</t>
        </is>
      </c>
      <c r="B50" s="69" t="inlineStr">
        <is>
          <t>Revisão de hardening</t>
        </is>
      </c>
      <c r="C50" s="69" t="inlineStr">
        <is>
          <t>1 ponto - Avaliar as configurações de segurança dos sistemas, dispositivos e aplicações em escopo, identificando desvios em relação a boas práticas e padrões reconhecidos de hardening.
1 ponto - Fornecer recomendações práticas de configurações seguras alinhadas à realidade operacional do InPACTA/Cliente, considerando as restrições técnicas, funcionais e de negócio de cada ambiente.
1 ponto - Priorizar as recomendações de hardening com base no risco associado a cada desvio identificado, orientando a equipe técnica do InPACTA/Cliente sobre as ações de maior impacto na redução da superfície de ataque.</t>
        </is>
      </c>
      <c r="D50" s="82" t="inlineStr">
        <is>
          <t>Pontuável - máximo 3 pontos</t>
        </is>
      </c>
      <c r="E50" s="83" t="n">
        <v>3</v>
      </c>
      <c r="F50" s="110" t="inlineStr">
        <is>
          <t>Fase documental: documentação técnica e evidências verificáveis da capacidade disponível, identificando subitem, versão, componente e licença; não basta declaração. Confirmação na PoC, se convocado: Teste prático. Ref.: Anexo I, item 4.4.</t>
        </is>
      </c>
      <c r="G50" s="110" t="inlineStr">
        <is>
          <t>Avaliação documental para NF/VTI; PoC posterior da convocada, na amostra comum aprovada.</t>
        </is>
      </c>
      <c r="H50" s="69" t="inlineStr">
        <is>
          <t>Atribuir somente os pontos dos subitens efetivamente demonstrados, respeitados os pesos individuais registrados.</t>
        </is>
      </c>
      <c r="I50" s="69" t="inlineStr">
        <is>
          <t>Não atribuição dos pontos do subitem não comprovado; não elimina isoladamente.</t>
        </is>
      </c>
      <c r="J50" s="78" t="n"/>
      <c r="K50" s="78" t="n"/>
      <c r="L50" s="78" t="n"/>
      <c r="M50" s="78" t="n"/>
      <c r="N50" s="78" t="n"/>
      <c r="O50" s="116" t="n">
        <f>SUM('Subitens RF-P'!H6:H8)</f>
        <v>0</v>
      </c>
      <c r="P50" s="80" t="n">
        <f>IF(AND(ISNUMBER(O50),OR(AND(J50="Atende integralmente",O50=E50),AND(J50="Atende parcialmente",OR(O50=0,O50=1,O50=2)))),O50,0)</f>
        <v>0</v>
      </c>
      <c r="Q50" s="84" t="n"/>
      <c r="R50" s="78" t="n"/>
    </row>
    <row r="51" ht="283" customHeight="1" s="37">
      <c r="A51" s="74" t="inlineStr">
        <is>
          <t>RF-P-002</t>
        </is>
      </c>
      <c r="B51" s="75" t="inlineStr">
        <is>
          <t>Retestes e validação de correções</t>
        </is>
      </c>
      <c r="C51" s="75" t="inlineStr">
        <is>
          <t>1 ponto - Realizar retestes direcionados após a implementação de correções pelo InPACTA/Cliente, verificando se as vulnerabilidades apontadas foram efetivamente remediadas.
1 ponto - Validar a efetividade das medidas adotadas, confirmando que as correções implementadas eliminam o risco identificado sem introduzir novas exposições.
1 ponto - Atualizar o status de risco de cada vulnerabilidade com base nos resultados dos retestes, mantendo histórico atualizado da evolução do perfil de segurança do ambiente</t>
        </is>
      </c>
      <c r="D51" s="76" t="inlineStr">
        <is>
          <t>Pontuável — máximo 3 pontos</t>
        </is>
      </c>
      <c r="E51" s="77" t="n">
        <v>3</v>
      </c>
      <c r="F51" s="115" t="inlineStr">
        <is>
          <t>Fase documental: documentação técnica e evidências verificáveis da capacidade disponível, identificando subitem, versão, componente e licença; não basta declaração. Confirmação na PoC, se convocado: Teste prático. Ref.: Anexo I, item 4.5.</t>
        </is>
      </c>
      <c r="G51" s="115" t="inlineStr">
        <is>
          <t>Avaliação documental para NF/VTI; PoC posterior da convocada, na amostra comum aprovada.</t>
        </is>
      </c>
      <c r="H51" s="75" t="inlineStr">
        <is>
          <t>Atribuir somente os pontos dos subitens efetivamente demonstrados, respeitados os pesos individuais registrados.</t>
        </is>
      </c>
      <c r="I51" s="75" t="inlineStr">
        <is>
          <t>Não atribuição dos pontos do subitem não comprovado; não elimina isoladamente.</t>
        </is>
      </c>
      <c r="J51" s="78" t="n"/>
      <c r="K51" s="78" t="n"/>
      <c r="L51" s="78" t="n"/>
      <c r="M51" s="78" t="n"/>
      <c r="N51" s="78" t="n"/>
      <c r="O51" s="116" t="n">
        <f>SUM('Subitens RF-P'!H9:H11)</f>
        <v>0</v>
      </c>
      <c r="P51" s="80" t="n">
        <f>IF(AND(ISNUMBER(O51),OR(AND(J51="Atende integralmente",O51=E51),AND(J51="Atende parcialmente",OR(O51=0,O51=1,O51=2)))),O51,0)</f>
        <v>0</v>
      </c>
      <c r="Q51" s="81" t="n"/>
      <c r="R51" s="78" t="n"/>
    </row>
    <row r="52" ht="392.25" customHeight="1" s="37">
      <c r="A52" s="68" t="inlineStr">
        <is>
          <t>RF-P-003</t>
        </is>
      </c>
      <c r="B52" s="110" t="inlineStr">
        <is>
          <t>SOC 24x7</t>
        </is>
      </c>
      <c r="C52" s="69" t="inlineStr">
        <is>
          <t>1 ponto - Realizar monitoramento contínuo do ambiente de TI do InPACTA/Cliente, 24 horas por dia, 7 dias por semana, incluindo finais de semana e feriados, sem interrupção.
1 ponto - Realizar triagem e classificação de alertas e incidentes identificados, diferenciando eventos relevantes de ruídos operacionais e priorizando o atendimento conforme o nível de severidade.
1 ponto - Registrar e documentar todos os eventos monitorados, mantendo trilha de auditoria completa para fins de análise forense, prestação de contas e conformidade regulatória.
1 ponto - Emitir alertas e notificações por nível de severidade, comunicando imediatamente o InPACTA/Cliente sobre incidentes críticos e fornecendo orientações iniciais de contenção.</t>
        </is>
      </c>
      <c r="D52" s="82" t="inlineStr">
        <is>
          <t>Pontuável — máximo 4 pontos</t>
        </is>
      </c>
      <c r="E52" s="83" t="n">
        <v>4</v>
      </c>
      <c r="F52" s="110" t="inlineStr">
        <is>
          <t>Fase documental: documentação técnica e evidências verificáveis da capacidade disponível, identificando subitem, versão, componente e licença; não basta declaração. Confirmação na PoC, se convocado: Teste prático. Ref.: Anexo I, item 4.6.</t>
        </is>
      </c>
      <c r="G52" s="110" t="inlineStr">
        <is>
          <t>Avaliação documental para NF/VTI; PoC posterior da convocada, na amostra comum aprovada.</t>
        </is>
      </c>
      <c r="H52" s="69" t="inlineStr">
        <is>
          <t>Atribuir somente os pontos dos subitens efetivamente demonstrados, respeitados os pesos individuais registrados.</t>
        </is>
      </c>
      <c r="I52" s="69" t="inlineStr">
        <is>
          <t>Não atribuição dos pontos do subitem não comprovado; não elimina isoladamente.</t>
        </is>
      </c>
      <c r="J52" s="78" t="n"/>
      <c r="K52" s="78" t="n"/>
      <c r="L52" s="78" t="n"/>
      <c r="M52" s="78" t="n"/>
      <c r="N52" s="78" t="n"/>
      <c r="O52" s="116" t="n">
        <f>SUM('Subitens RF-P'!H12:H15)</f>
        <v>0</v>
      </c>
      <c r="P52" s="80" t="n">
        <f>IF(AND(ISNUMBER(O52),OR(AND(J52="Atende integralmente",O52=E52),AND(J52="Atende parcialmente",OR(O52=0,O52=1,O52=2,O52=3)))),O52,0)</f>
        <v>0</v>
      </c>
      <c r="Q52" s="84" t="n"/>
      <c r="R52" s="78" t="n"/>
    </row>
    <row r="53" ht="409.5" customHeight="1" s="37">
      <c r="A53" s="74" t="inlineStr">
        <is>
          <t>RF-P-004</t>
        </is>
      </c>
      <c r="B53" s="75" t="inlineStr">
        <is>
          <t>Descoberta e gestão de superfície de ataque (CTEM)</t>
        </is>
      </c>
      <c r="C53" s="75" t="inlineStr">
        <is>
          <t>2 pontos - Retornar lista de domínios relacionados a um determinado nome de organização, permitindo o mapeamento completo da presença digital do InPACTA/Cliente.
1 ponto - Classificar todos os ativos descobertos em categorias, organizando a superfície de ataque de forma estruturada para priorização.
1 ponto - Encontrar domínios relacionados por meio da correspondência de favicons, identificando infraestruturas associadas à organização.
2 pontos - Classificar descobertas específicas de acordo com padrões reconhecidos, incluindo divulgação de informações, configurações incorretas e vulnerabilidades conhecidas.
2 pontos - Reprocessar recursivamente os resultados para identificar dependências e integrações de terceiros que ampliem a superfície de ataque do InPACTA/Cliente.</t>
        </is>
      </c>
      <c r="D53" s="76" t="inlineStr">
        <is>
          <t>Pontuável - máximo 8 pontos</t>
        </is>
      </c>
      <c r="E53" s="77" t="n">
        <v>8</v>
      </c>
      <c r="F53"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5.1.</t>
        </is>
      </c>
      <c r="G53" s="115" t="inlineStr">
        <is>
          <t>Avaliação documental para NF/VTI; PoC posterior da convocada, na amostra comum aprovada.</t>
        </is>
      </c>
      <c r="H53" s="75" t="inlineStr">
        <is>
          <t>Atribuir somente os pontos dos subitens efetivamente demonstrados, respeitados os pesos individuais registrados.</t>
        </is>
      </c>
      <c r="I53" s="75" t="inlineStr">
        <is>
          <t>Não atribuição dos pontos do subitem não comprovado; não elimina isoladamente.</t>
        </is>
      </c>
      <c r="J53" s="78" t="n"/>
      <c r="K53" s="78" t="n"/>
      <c r="L53" s="78" t="n"/>
      <c r="M53" s="78" t="n"/>
      <c r="N53" s="78" t="n"/>
      <c r="O53" s="116" t="n">
        <f>SUM('Subitens RF-P'!H16:H20)</f>
        <v>0</v>
      </c>
      <c r="P53" s="80" t="n">
        <f>IF(AND(ISNUMBER(O53),OR(AND(J53="Atende integralmente",O53=E53),AND(J53="Atende parcialmente",OR(O53=0,O53=1,O53=2,O53=3,O53=4,O53=5,O53=6,O53=7)))),O53,0)</f>
        <v>0</v>
      </c>
      <c r="Q53" s="81" t="n"/>
      <c r="R53" s="78" t="n"/>
    </row>
    <row r="54" ht="301.2" customHeight="1" s="37">
      <c r="A54" s="68" t="inlineStr">
        <is>
          <t>RF-P-005</t>
        </is>
      </c>
      <c r="B54" s="69" t="inlineStr">
        <is>
          <t>Descoberta e gestão de superfície de ataque (CTEM)</t>
        </is>
      </c>
      <c r="C54" s="69" t="inlineStr">
        <is>
          <t>2 pontos - Realizar referência cruzada das descobertas para criar visibilidade completa de ativos, correlacionando informações de múltiplas fontes.
2 pontos - Identificar oportunidades de ataque na superfície externa relacionada aos ativos descobertos ou formalmente autorizados pela INPACTA/CLIENTE, correlacionando domínios, subdomínios, endereços IP, portas, serviços e demais atributos técnicos disponíveis.
2 pontos - Realizar referência cruzada com dados de inteligência de ameaças no processo de descoberta, identificando tendências e fraquezas nos ativos mapeados.</t>
        </is>
      </c>
      <c r="D54" s="82" t="inlineStr">
        <is>
          <t>Pontuável - máximo 6 pontos</t>
        </is>
      </c>
      <c r="E54" s="83" t="n">
        <v>6</v>
      </c>
      <c r="F54"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5.1.</t>
        </is>
      </c>
      <c r="G54" s="110" t="inlineStr">
        <is>
          <t>Avaliação documental para NF/VTI; PoC posterior da convocada, na amostra comum aprovada.</t>
        </is>
      </c>
      <c r="H54" s="69" t="inlineStr">
        <is>
          <t>Atribuir somente os pontos dos subitens efetivamente demonstrados, respeitados os pesos individuais registrados.</t>
        </is>
      </c>
      <c r="I54" s="69" t="inlineStr">
        <is>
          <t>Não atribuição dos pontos do subitem não comprovado; não elimina isoladamente.</t>
        </is>
      </c>
      <c r="J54" s="78" t="n"/>
      <c r="K54" s="78" t="n"/>
      <c r="L54" s="78" t="n"/>
      <c r="M54" s="78" t="n"/>
      <c r="N54" s="78" t="n"/>
      <c r="O54" s="116" t="n">
        <f>SUM('Subitens RF-P'!H21:H23)</f>
        <v>0</v>
      </c>
      <c r="P54" s="80" t="n">
        <f>IF(AND(ISNUMBER(O54),OR(AND(J54="Atende integralmente",O54=E54),AND(J54="Atende parcialmente",OR(O54=0,O54=2,O54=4)))),O54,0)</f>
        <v>0</v>
      </c>
      <c r="Q54" s="84" t="n"/>
      <c r="R54" s="78" t="n"/>
    </row>
    <row r="55" ht="409.5" customHeight="1" s="37">
      <c r="A55" s="74" t="inlineStr">
        <is>
          <t>RF-P-006</t>
        </is>
      </c>
      <c r="B55" s="75" t="inlineStr">
        <is>
          <t>Simulação de violação e ataque (BAS)</t>
        </is>
      </c>
      <c r="C55" s="75" t="inlineStr">
        <is>
          <t>2 pontos - Possuir metodologias abrangentes de validação para todos os diferentes tipos de vetores, cobrindo a diversidade de técnicas utilizadas por atores maliciosos.
2 pontos - Indicar automaticamente quando um vetor é remediado, mantendo registro histórico das correções realizadas e do seu impacto na superfície de ataque.
2 pontos - Executar continuamente nos ativos selecionados, monitorando o status das remediações e identificando regressões ou novas exposições.
2 pontos - Notificar os usuários quando um vetor for acessado ou explorado por um operador, garantindo rastreabilidade e controle das atividades de teste.
1 ponto - Permitir que os usuários registrem notas e observações nos vetores identificados, facilitando a comunicação e o acompanhamento colaborativo.</t>
        </is>
      </c>
      <c r="D55" s="76" t="inlineStr">
        <is>
          <t>Pontuável - máximo 9 pontos</t>
        </is>
      </c>
      <c r="E55" s="77" t="n">
        <v>9</v>
      </c>
      <c r="F55"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5.2.</t>
        </is>
      </c>
      <c r="G55" s="115" t="inlineStr">
        <is>
          <t>Avaliação documental para NF/VTI; PoC posterior da convocada, na amostra comum aprovada.</t>
        </is>
      </c>
      <c r="H55" s="75" t="inlineStr">
        <is>
          <t>Atribuir somente os pontos dos subitens efetivamente demonstrados, respeitados os pesos individuais registrados.</t>
        </is>
      </c>
      <c r="I55" s="75" t="inlineStr">
        <is>
          <t>Não atribuição dos pontos do subitem não comprovado; não elimina isoladamente.</t>
        </is>
      </c>
      <c r="J55" s="78" t="n"/>
      <c r="K55" s="78" t="n"/>
      <c r="L55" s="78" t="n"/>
      <c r="M55" s="78" t="n"/>
      <c r="N55" s="78" t="n"/>
      <c r="O55" s="116" t="n">
        <f>SUM('Subitens RF-P'!H24:H28)</f>
        <v>0</v>
      </c>
      <c r="P55" s="80" t="n">
        <f>IF(AND(ISNUMBER(O55),OR(AND(J55="Atende integralmente",O55=E55),AND(J55="Atende parcialmente",OR(O55=0,O55=1,O55=2,O55=3,O55=4,O55=5,O55=6,O55=7,O55=8)))),O55,0)</f>
        <v>0</v>
      </c>
      <c r="Q55" s="81" t="n"/>
      <c r="R55" s="78" t="n"/>
    </row>
    <row r="56" ht="409.5" customHeight="1" s="37">
      <c r="A56" s="68" t="inlineStr">
        <is>
          <t>RF-P-007</t>
        </is>
      </c>
      <c r="B56" s="69" t="inlineStr">
        <is>
          <t>Relatórios e gestão operacional</t>
        </is>
      </c>
      <c r="C56" s="69" t="inlineStr">
        <is>
          <t>1 ponto - Permitir a exportação de relatórios em formatos amplamente utilizados, possibilitando o compartilhamento das descobertas com diferentes públicos.
2 pontos - Fornecer painel de visão geral com as descobertas de CTEM e BAS, apresentando dados consolidados e atualizados de forma contínua, com rastreabilidade da última atualização.
1 ponto - Permitir diferentes funções de usuário (Gestor e Membro), com controles de acesso adequados ao perfil de cada colaborador.
1 ponto - Permitir que os usuários dividam diferentes ativos entre diferentes equipes ou usuários, viabilizando a gestão segmentada da superfície de ataque.
1 ponto - Fornecer menu de configuração de usuário que permita personalizar níveis e cronogramas de varredura conforme as necessidades operacionais do InPACTA/Cliente.</t>
        </is>
      </c>
      <c r="D56" s="82" t="inlineStr">
        <is>
          <t>Pontuável - máximo 6 pontos</t>
        </is>
      </c>
      <c r="E56" s="83" t="n">
        <v>6</v>
      </c>
      <c r="F56"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5.3.</t>
        </is>
      </c>
      <c r="G56" s="110" t="inlineStr">
        <is>
          <t>Avaliação documental para NF/VTI; PoC posterior da convocada, na amostra comum aprovada.</t>
        </is>
      </c>
      <c r="H56" s="69" t="inlineStr">
        <is>
          <t>Atribuir somente os pontos dos subitens efetivamente demonstrados, respeitados os pesos individuais registrados.</t>
        </is>
      </c>
      <c r="I56" s="69" t="inlineStr">
        <is>
          <t>Não atribuição dos pontos do subitem não comprovado; não elimina isoladamente.</t>
        </is>
      </c>
      <c r="J56" s="78" t="n"/>
      <c r="K56" s="78" t="n"/>
      <c r="L56" s="78" t="n"/>
      <c r="M56" s="78" t="n"/>
      <c r="N56" s="78" t="n"/>
      <c r="O56" s="116" t="n">
        <f>SUM('Subitens RF-P'!H29:H33)</f>
        <v>0</v>
      </c>
      <c r="P56" s="80" t="n">
        <f>IF(AND(ISNUMBER(O56),OR(AND(J56="Atende integralmente",O56=E56),AND(J56="Atende parcialmente",OR(O56=0,O56=1,O56=2,O56=3,O56=4,O56=5)))),O56,0)</f>
        <v>0</v>
      </c>
      <c r="Q56" s="84" t="n"/>
      <c r="R56" s="78" t="n"/>
    </row>
    <row r="57" ht="138" customHeight="1" s="37">
      <c r="A57" s="74" t="inlineStr">
        <is>
          <t>RF-P-008</t>
        </is>
      </c>
      <c r="B57" s="75" t="inlineStr">
        <is>
          <t>Relatórios e gestão operacional</t>
        </is>
      </c>
      <c r="C57" s="75" t="inlineStr">
        <is>
          <t>2 pontos - Suportar abertura de chamados junto ao service desk, integrando os achados da plataforma aos fluxos de gestão de incidentes e vulnerabilidades já existentes.</t>
        </is>
      </c>
      <c r="D57" s="76" t="inlineStr">
        <is>
          <t>Pontuável - máximo 2 pontos</t>
        </is>
      </c>
      <c r="E57" s="77" t="n">
        <v>2</v>
      </c>
      <c r="F57"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5.3.</t>
        </is>
      </c>
      <c r="G57" s="115" t="inlineStr">
        <is>
          <t>Avaliação documental para NF/VTI; PoC posterior da convocada, na amostra comum aprovada.</t>
        </is>
      </c>
      <c r="H57" s="75" t="inlineStr">
        <is>
          <t>Atribuir somente os pontos dos subitens efetivamente demonstrados, respeitados os pesos individuais registrados.</t>
        </is>
      </c>
      <c r="I57" s="75" t="inlineStr">
        <is>
          <t>Não atribuição dos pontos do subitem não comprovado; não elimina isoladamente.</t>
        </is>
      </c>
      <c r="J57" s="78" t="n"/>
      <c r="K57" s="78" t="n"/>
      <c r="L57" s="78" t="n"/>
      <c r="M57" s="78" t="n"/>
      <c r="N57" s="78" t="n"/>
      <c r="O57" s="116" t="n">
        <f>SUM('Subitens RF-P'!H34:H34)</f>
        <v>0</v>
      </c>
      <c r="P57" s="80" t="n">
        <f>IF(AND(ISNUMBER(O57),OR(AND(J57="Atende integralmente",O57=E57),AND(J57="Atende parcialmente",OR(O57=0)))),O57,0)</f>
        <v>0</v>
      </c>
      <c r="Q57" s="81" t="n"/>
      <c r="R57" s="78" t="n"/>
    </row>
    <row r="58" ht="173.8" customHeight="1" s="37">
      <c r="A58" s="68" t="inlineStr">
        <is>
          <t>RF-P-009</t>
        </is>
      </c>
      <c r="B58" s="69" t="inlineStr">
        <is>
          <t>Requisitos de Implantação e Infraestrutura</t>
        </is>
      </c>
      <c r="C58" s="69" t="inlineStr">
        <is>
          <t>2 pontos - Oferecer opção de implantação em ambiente cloud (nuvem pública ou privada) ou on-premise, conforme a política de infraestrutura do InPACTA/Cliente.
1 ponto - Assegurar que a opção on-premise não comprometa as capacidades funcionais da solução em relação à versão cloud.</t>
        </is>
      </c>
      <c r="D58" s="82" t="inlineStr">
        <is>
          <t>Pontuável - máximo 3 pontos</t>
        </is>
      </c>
      <c r="E58" s="83" t="n">
        <v>3</v>
      </c>
      <c r="F58"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5.4.</t>
        </is>
      </c>
      <c r="G58" s="110" t="inlineStr">
        <is>
          <t>Avaliação documental para NF/VTI; PoC posterior da convocada, na amostra comum aprovada.</t>
        </is>
      </c>
      <c r="H58" s="69" t="inlineStr">
        <is>
          <t>Atribuir somente os pontos dos subitens efetivamente demonstrados, respeitados os pesos individuais registrados.</t>
        </is>
      </c>
      <c r="I58" s="69" t="inlineStr">
        <is>
          <t>Não atribuição dos pontos do subitem não comprovado; não elimina isoladamente.</t>
        </is>
      </c>
      <c r="J58" s="78" t="n"/>
      <c r="K58" s="78" t="n"/>
      <c r="L58" s="78" t="n"/>
      <c r="M58" s="78" t="n"/>
      <c r="N58" s="78" t="n"/>
      <c r="O58" s="116" t="n">
        <f>SUM('Subitens RF-P'!H35:H36)</f>
        <v>0</v>
      </c>
      <c r="P58" s="80" t="n">
        <f>IF(AND(ISNUMBER(O58),OR(AND(J58="Atende integralmente",O58=E58),AND(J58="Atende parcialmente",OR(O58=0,O58=1,O58=2)))),O58,0)</f>
        <v>0</v>
      </c>
      <c r="Q58" s="84" t="n"/>
      <c r="R58" s="78" t="n"/>
    </row>
    <row r="59" ht="228.45" customHeight="1" s="37">
      <c r="A59" s="74" t="inlineStr">
        <is>
          <t>RF-P-010</t>
        </is>
      </c>
      <c r="B59" s="75" t="inlineStr">
        <is>
          <t>Gerenciamento de risco cibernético de terceiros</t>
        </is>
      </c>
      <c r="C59" s="75" t="inlineStr">
        <is>
          <t>2 pontos - Calcular Cyber Score prevendo a probabilidade de uma empresa da cadeia de fornecimento sofrer um incidente cibernético, com atualização contínua e histórico de evolução.
1 ponto - Gerar relatórios abrangentes com recomendações para remediação, em formatos executivo e técnico.
1 ponto - Disponibilizar processo de onboarding facilitado, permitindo rápido cadastro de fornecedores e início imediato da avaliação de riscos.</t>
        </is>
      </c>
      <c r="D59" s="76" t="inlineStr">
        <is>
          <t>Pontuável - máximo 4 pontos</t>
        </is>
      </c>
      <c r="E59" s="77" t="n">
        <v>4</v>
      </c>
      <c r="F59"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6.1.</t>
        </is>
      </c>
      <c r="G59" s="115" t="inlineStr">
        <is>
          <t>Avaliação documental para NF/VTI; PoC posterior da convocada, na amostra comum aprovada.</t>
        </is>
      </c>
      <c r="H59" s="75" t="inlineStr">
        <is>
          <t>Atribuir somente os pontos dos subitens efetivamente demonstrados, respeitados os pesos individuais registrados.</t>
        </is>
      </c>
      <c r="I59" s="75" t="inlineStr">
        <is>
          <t>Não atribuição dos pontos do subitem não comprovado; não elimina isoladamente.</t>
        </is>
      </c>
      <c r="J59" s="78" t="n"/>
      <c r="K59" s="78" t="n"/>
      <c r="L59" s="78" t="n"/>
      <c r="M59" s="78" t="n"/>
      <c r="N59" s="78" t="n"/>
      <c r="O59" s="116" t="n">
        <f>SUM('Subitens RF-P'!H37:H39)</f>
        <v>0</v>
      </c>
      <c r="P59" s="80" t="n">
        <f>IF(AND(ISNUMBER(O59),OR(AND(J59="Atende integralmente",O59=E59),AND(J59="Atende parcialmente",OR(O59=0,O59=1,O59=2,O59=3)))),O59,0)</f>
        <v>0</v>
      </c>
      <c r="Q59" s="81" t="n"/>
      <c r="R59" s="78" t="n"/>
    </row>
    <row r="60" ht="374.05" customHeight="1" s="37">
      <c r="A60" s="68" t="inlineStr">
        <is>
          <t>RF-P-011</t>
        </is>
      </c>
      <c r="B60" s="69" t="inlineStr">
        <is>
          <t>Compliance</t>
        </is>
      </c>
      <c r="C60" s="69" t="inlineStr">
        <is>
          <t>3 pontos - Fornecer capacidade de envio de questionários de segurança e conformidade para fornecedores, com gestão centralizada de respostas e acompanhamento de status.
1 ponto - Permitir configurar e aplicar referenciais regulatórios, normativos e setoriais, incluindo NIS2, DORA, HIPAA ou outros, somente quando compatíveis com o perfil e a atividade do terceiro avaliado.
2 pontos - Permitir personalização dos questionários conforme a criticidade e o perfil de risco de cada fornecedor ou categoria de serviço.
2 pontos - Consolidar as respostas dos questionários em painéis de conformidade, facilitando o acompanhamento do nível de aderência regulatória de cada terceiro.</t>
        </is>
      </c>
      <c r="D60" s="82" t="inlineStr">
        <is>
          <t>Pontuável - máximo 8 pontos</t>
        </is>
      </c>
      <c r="E60" s="83" t="n">
        <v>8</v>
      </c>
      <c r="F60"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6.2.</t>
        </is>
      </c>
      <c r="G60" s="110" t="inlineStr">
        <is>
          <t>Avaliação documental para NF/VTI; PoC posterior da convocada, na amostra comum aprovada.</t>
        </is>
      </c>
      <c r="H60" s="69" t="inlineStr">
        <is>
          <t>Atribuir somente os pontos dos subitens efetivamente demonstrados, respeitados os pesos individuais registrados.</t>
        </is>
      </c>
      <c r="I60" s="69" t="inlineStr">
        <is>
          <t>Não atribuição dos pontos do subitem não comprovado; não elimina isoladamente.</t>
        </is>
      </c>
      <c r="J60" s="78" t="n"/>
      <c r="K60" s="78" t="n"/>
      <c r="L60" s="78" t="n"/>
      <c r="M60" s="78" t="n"/>
      <c r="N60" s="78" t="n"/>
      <c r="O60" s="116" t="n">
        <f>SUM('Subitens RF-P'!H40:H43)</f>
        <v>0</v>
      </c>
      <c r="P60" s="80" t="n">
        <f>IF(AND(ISNUMBER(O60),OR(AND(J60="Atende integralmente",O60=E60),AND(J60="Atende parcialmente",OR(O60=0,O60=1,O60=2,O60=3,O60=4,O60=5,O60=6,O60=7)))),O60,0)</f>
        <v>0</v>
      </c>
      <c r="Q60" s="84" t="n"/>
      <c r="R60" s="78" t="n"/>
    </row>
    <row r="61" ht="138" customHeight="1" s="37">
      <c r="A61" s="74" t="inlineStr">
        <is>
          <t>RF-P-012</t>
        </is>
      </c>
      <c r="B61" s="75" t="inlineStr">
        <is>
          <t>Exposição de ameaças</t>
        </is>
      </c>
      <c r="C61" s="75" t="inlineStr">
        <is>
          <t>3 pontos - Permitir priorização das ações de remediação com base na criticidade do fornecedor e na natureza dos dados expostos.</t>
        </is>
      </c>
      <c r="D61" s="76" t="inlineStr">
        <is>
          <t>Pontuável - máximo 3 pontos</t>
        </is>
      </c>
      <c r="E61" s="77" t="n">
        <v>3</v>
      </c>
      <c r="F61"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6.3.</t>
        </is>
      </c>
      <c r="G61" s="115" t="inlineStr">
        <is>
          <t>Avaliação documental para NF/VTI; PoC posterior da convocada, na amostra comum aprovada.</t>
        </is>
      </c>
      <c r="H61" s="75" t="inlineStr">
        <is>
          <t>Atribuir somente os pontos dos subitens efetivamente demonstrados, respeitados os pesos individuais registrados.</t>
        </is>
      </c>
      <c r="I61" s="75" t="inlineStr">
        <is>
          <t>Não atribuição dos pontos do subitem não comprovado; não elimina isoladamente.</t>
        </is>
      </c>
      <c r="J61" s="78" t="n"/>
      <c r="K61" s="78" t="n"/>
      <c r="L61" s="78" t="n"/>
      <c r="M61" s="78" t="n"/>
      <c r="N61" s="78" t="n"/>
      <c r="O61" s="116" t="n">
        <f>SUM('Subitens RF-P'!H44:H44)</f>
        <v>0</v>
      </c>
      <c r="P61" s="80" t="n">
        <f>IF(AND(ISNUMBER(O61),OR(AND(J61="Atende integralmente",O61=E61),AND(J61="Atende parcialmente",OR(O61=0)))),O61,0)</f>
        <v>0</v>
      </c>
      <c r="Q61" s="81" t="n"/>
      <c r="R61" s="78" t="n"/>
    </row>
    <row r="62" ht="138" customHeight="1" s="37">
      <c r="A62" s="68" t="inlineStr">
        <is>
          <t>RF-P-013</t>
        </is>
      </c>
      <c r="B62" s="69" t="inlineStr">
        <is>
          <t>Superfície de ataque</t>
        </is>
      </c>
      <c r="C62" s="69" t="inlineStr">
        <is>
          <t>3 pontos - Fornecer visão topológica da superfície de ataque de cada fornecedor, do ponto de vista do adversário.
2 pontos - Emitir alertas proativos sobre novas exposições identificadas, com recomendações de remediação e prazo sugerido.</t>
        </is>
      </c>
      <c r="D62" s="82" t="inlineStr">
        <is>
          <t>Pontuável - máximo 5 pontos</t>
        </is>
      </c>
      <c r="E62" s="83" t="n">
        <v>5</v>
      </c>
      <c r="F62"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6.4.</t>
        </is>
      </c>
      <c r="G62" s="110" t="inlineStr">
        <is>
          <t>Avaliação documental para NF/VTI; PoC posterior da convocada, na amostra comum aprovada.</t>
        </is>
      </c>
      <c r="H62" s="69" t="inlineStr">
        <is>
          <t>Atribuir somente os pontos dos subitens efetivamente demonstrados, respeitados os pesos individuais registrados.</t>
        </is>
      </c>
      <c r="I62" s="69" t="inlineStr">
        <is>
          <t>Não atribuição dos pontos do subitem não comprovado; não elimina isoladamente.</t>
        </is>
      </c>
      <c r="J62" s="78" t="n"/>
      <c r="K62" s="78" t="n"/>
      <c r="L62" s="78" t="n"/>
      <c r="M62" s="78" t="n"/>
      <c r="N62" s="78" t="n"/>
      <c r="O62" s="116" t="n">
        <f>SUM('Subitens RF-P'!H45:H46)</f>
        <v>0</v>
      </c>
      <c r="P62" s="80" t="n">
        <f>IF(AND(ISNUMBER(O62),OR(AND(J62="Atende integralmente",O62=E62),AND(J62="Atende parcialmente",OR(O62=0,O62=2,O62=3)))),O62,0)</f>
        <v>0</v>
      </c>
      <c r="Q62" s="84" t="n"/>
      <c r="R62" s="78" t="n"/>
    </row>
    <row r="63" ht="155.6" customHeight="1" s="37">
      <c r="A63" s="74" t="inlineStr">
        <is>
          <t>RF-P-014</t>
        </is>
      </c>
      <c r="B63" s="75" t="inlineStr">
        <is>
          <t>Ransomware</t>
        </is>
      </c>
      <c r="C63" s="75" t="inlineStr">
        <is>
          <t>1 ponto - Fornecer contexto sobre o grupo responsável pelo ataque, dados potencialmente expostos e impacto estimado para a cadeia de fornecimento.
2 pontos - Permitir avaliação rápida do risco de contaminação e interrupção dos serviços prestados pelo fornecedor afetado.</t>
        </is>
      </c>
      <c r="D63" s="76" t="inlineStr">
        <is>
          <t>Pontuável - máximo 3 pontos</t>
        </is>
      </c>
      <c r="E63" s="77" t="n">
        <v>3</v>
      </c>
      <c r="F63" s="115" t="inlineStr">
        <is>
          <t>Fase documental: documentação técnica e evidências verificáveis da capacidade disponível, identificando subitem, versão, componente e licença; não basta declaração. Confirmação na PoC, se convocado: Acesso ao sistema (PoC) e teste prático. Ref.: Anexo I, itens 6.4.6 a 6.4.9.</t>
        </is>
      </c>
      <c r="G63" s="115" t="inlineStr">
        <is>
          <t>Avaliação documental para NF/VTI; PoC posterior da convocada, na amostra comum aprovada.</t>
        </is>
      </c>
      <c r="H63" s="75" t="inlineStr">
        <is>
          <t>Atribuir somente os pontos dos subitens efetivamente demonstrados, respeitados os pesos individuais registrados.</t>
        </is>
      </c>
      <c r="I63" s="75" t="inlineStr">
        <is>
          <t>Não atribuição dos pontos do subitem não comprovado; não elimina isoladamente.</t>
        </is>
      </c>
      <c r="J63" s="78" t="n"/>
      <c r="K63" s="78" t="n"/>
      <c r="L63" s="78" t="n"/>
      <c r="M63" s="78" t="n"/>
      <c r="N63" s="78" t="n"/>
      <c r="O63" s="116" t="n">
        <f>SUM('Subitens RF-P'!H47:H48)</f>
        <v>0</v>
      </c>
      <c r="P63" s="80" t="n">
        <f>IF(AND(ISNUMBER(O63),OR(AND(J63="Atende integralmente",O63=E63),AND(J63="Atende parcialmente",OR(O63=0,O63=1,O63=2)))),O63,0)</f>
        <v>0</v>
      </c>
      <c r="Q63" s="81" t="n"/>
      <c r="R63" s="78" t="n"/>
    </row>
    <row r="64" ht="246.65" customHeight="1" s="37">
      <c r="A64" s="68" t="inlineStr">
        <is>
          <t>RF-P-015</t>
        </is>
      </c>
      <c r="B64" s="69" t="inlineStr">
        <is>
          <t>Módulo de Investigação</t>
        </is>
      </c>
      <c r="C64" s="69" t="inlineStr">
        <is>
          <t>1 ponto - Suportar filtragem fácil dos resultados por propriedades específicas.
1 ponto - Disponibilizar recurso de consultas salvas com alertas por e-mail para atualizações sobre novas descobertas.
1 ponto - Permitir download de bancos de dados e arquivos diretamente da plataforma.
1 ponto - Fornecer acesso a base de conhecimento do Centro de Inteligência Cibernética com relatórios completos.</t>
        </is>
      </c>
      <c r="D64" s="82" t="inlineStr">
        <is>
          <t>Pontuável - máximo 4 pontos</t>
        </is>
      </c>
      <c r="E64" s="83" t="n">
        <v>4</v>
      </c>
      <c r="F64"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7.4.</t>
        </is>
      </c>
      <c r="G64" s="110" t="inlineStr">
        <is>
          <t>Avaliação documental para NF/VTI; PoC posterior da convocada, na amostra comum aprovada.</t>
        </is>
      </c>
      <c r="H64" s="69" t="inlineStr">
        <is>
          <t>Atribuir somente os pontos dos subitens efetivamente demonstrados, respeitados os pesos individuais registrados.</t>
        </is>
      </c>
      <c r="I64" s="69" t="inlineStr">
        <is>
          <t>Não atribuição dos pontos do subitem não comprovado; não elimina isoladamente.</t>
        </is>
      </c>
      <c r="J64" s="78" t="n"/>
      <c r="K64" s="78" t="n"/>
      <c r="L64" s="78" t="n"/>
      <c r="M64" s="78" t="n"/>
      <c r="N64" s="78" t="n"/>
      <c r="O64" s="116" t="n">
        <f>SUM('Subitens RF-P'!H49:H52)</f>
        <v>0</v>
      </c>
      <c r="P64" s="80" t="n">
        <f>IF(AND(ISNUMBER(O64),OR(AND(J64="Atende integralmente",O64=E64),AND(J64="Atende parcialmente",OR(O64=0,O64=1,O64=2,O64=3)))),O64,0)</f>
        <v>0</v>
      </c>
      <c r="Q64" s="84" t="n"/>
      <c r="R64" s="78" t="n"/>
    </row>
    <row r="65" ht="138" customHeight="1" s="37">
      <c r="A65" s="74" t="inlineStr">
        <is>
          <t>RF-P-016</t>
        </is>
      </c>
      <c r="B65" s="75" t="inlineStr">
        <is>
          <t>Módulo de Panorama de Ameaças</t>
        </is>
      </c>
      <c r="C65" s="75" t="inlineStr">
        <is>
          <t>2 pontos - Enriquecer dados com inteligência de fontes de cibercrime, criando eventos a partir de incidentes curados para defesa proativa.
3 pontos - Disponibilizar lista curada de atividades em tendência do underground (ransomware, APTs) com estatísticas.</t>
        </is>
      </c>
      <c r="D65" s="76" t="inlineStr">
        <is>
          <t>Pontuável - máximo 5 pontos</t>
        </is>
      </c>
      <c r="E65" s="77" t="n">
        <v>5</v>
      </c>
      <c r="F65"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7.5.</t>
        </is>
      </c>
      <c r="G65" s="115" t="inlineStr">
        <is>
          <t>Avaliação documental para NF/VTI; PoC posterior da convocada, na amostra comum aprovada.</t>
        </is>
      </c>
      <c r="H65" s="75" t="inlineStr">
        <is>
          <t>Atribuir somente os pontos dos subitens efetivamente demonstrados, respeitados os pesos individuais registrados.</t>
        </is>
      </c>
      <c r="I65" s="75" t="inlineStr">
        <is>
          <t>Não atribuição dos pontos do subitem não comprovado; não elimina isoladamente.</t>
        </is>
      </c>
      <c r="J65" s="78" t="n"/>
      <c r="K65" s="78" t="n"/>
      <c r="L65" s="78" t="n"/>
      <c r="M65" s="78" t="n"/>
      <c r="N65" s="78" t="n"/>
      <c r="O65" s="116" t="n">
        <f>SUM('Subitens RF-P'!H53:H54)</f>
        <v>0</v>
      </c>
      <c r="P65" s="80" t="n">
        <f>IF(AND(ISNUMBER(O65),OR(AND(J65="Atende integralmente",O65=E65),AND(J65="Atende parcialmente",OR(O65=0,O65=2,O65=3)))),O65,0)</f>
        <v>0</v>
      </c>
      <c r="Q65" s="81" t="n"/>
      <c r="R65" s="78" t="n"/>
    </row>
    <row r="66" ht="192" customHeight="1" s="37">
      <c r="A66" s="68" t="inlineStr">
        <is>
          <t>RF-P-017</t>
        </is>
      </c>
      <c r="B66" s="69" t="inlineStr">
        <is>
          <t>Módulo de Atores de Ameaça e Inteligência APT</t>
        </is>
      </c>
      <c r="C66" s="69" t="inlineStr">
        <is>
          <t>2 pontos - Analisar padrões por setor e região para revelar preferências de alvo e estratégias.
2 pontos - Criar automaticamente perfis detalhados de grupos de ataque com táticas, técnicas, afiliações e histórico de atividades.
1 ponto - Fornecer inteligência sobre aliases utilizados por grupos APT para rastreamento de atividades.</t>
        </is>
      </c>
      <c r="D66" s="82" t="inlineStr">
        <is>
          <t>Pontuável - máximo 5 pontos</t>
        </is>
      </c>
      <c r="E66" s="83" t="n">
        <v>5</v>
      </c>
      <c r="F66"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7.7.</t>
        </is>
      </c>
      <c r="G66" s="110" t="inlineStr">
        <is>
          <t>Avaliação documental para NF/VTI; PoC posterior da convocada, na amostra comum aprovada.</t>
        </is>
      </c>
      <c r="H66" s="69" t="inlineStr">
        <is>
          <t>Atribuir somente os pontos dos subitens efetivamente demonstrados, respeitados os pesos individuais registrados.</t>
        </is>
      </c>
      <c r="I66" s="69" t="inlineStr">
        <is>
          <t>Não atribuição dos pontos do subitem não comprovado; não elimina isoladamente.</t>
        </is>
      </c>
      <c r="J66" s="78" t="n"/>
      <c r="K66" s="78" t="n"/>
      <c r="L66" s="78" t="n"/>
      <c r="M66" s="78" t="n"/>
      <c r="N66" s="78" t="n"/>
      <c r="O66" s="116" t="n">
        <f>SUM('Subitens RF-P'!H55:H57)</f>
        <v>0</v>
      </c>
      <c r="P66" s="80" t="n">
        <f>IF(AND(ISNUMBER(O66),OR(AND(J66="Atende integralmente",O66=E66),AND(J66="Atende parcialmente",OR(O66=0,O66=1,O66=2,O66=3,O66=4)))),O66,0)</f>
        <v>0</v>
      </c>
      <c r="Q66" s="84" t="n"/>
      <c r="R66" s="78" t="n"/>
    </row>
    <row r="67" ht="173.8" customHeight="1" s="37">
      <c r="A67" s="74" t="inlineStr">
        <is>
          <t>RF-P-018</t>
        </is>
      </c>
      <c r="B67" s="75" t="inlineStr">
        <is>
          <t>Módulo de Proteção de Identidade</t>
        </is>
      </c>
      <c r="C67" s="75" t="inlineStr">
        <is>
          <t>1 ponto - Permitir marcar resultados como resolvidos para gestão do ciclo de vida dos incidentes.
1 ponto - Filtrar incidentes por data de infecção ou data de criação, categoria, FQDN, criticidade e status de resolução.
1 ponto - Permitir importar arquivos CSV com ativos digitais relevantes.</t>
        </is>
      </c>
      <c r="D67" s="76" t="inlineStr">
        <is>
          <t>Pontuável - máximo 3 pontos</t>
        </is>
      </c>
      <c r="E67" s="77" t="n">
        <v>3</v>
      </c>
      <c r="F67"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7.8.</t>
        </is>
      </c>
      <c r="G67" s="115" t="inlineStr">
        <is>
          <t>Avaliação documental para NF/VTI; PoC posterior da convocada, na amostra comum aprovada.</t>
        </is>
      </c>
      <c r="H67" s="75" t="inlineStr">
        <is>
          <t>Atribuir somente os pontos dos subitens efetivamente demonstrados, respeitados os pesos individuais registrados.</t>
        </is>
      </c>
      <c r="I67" s="75" t="inlineStr">
        <is>
          <t>Não atribuição dos pontos do subitem não comprovado; não elimina isoladamente.</t>
        </is>
      </c>
      <c r="J67" s="78" t="n"/>
      <c r="K67" s="78" t="n"/>
      <c r="L67" s="78" t="n"/>
      <c r="M67" s="78" t="n"/>
      <c r="N67" s="78" t="n"/>
      <c r="O67" s="116" t="n">
        <f>SUM('Subitens RF-P'!H58:H60)</f>
        <v>0</v>
      </c>
      <c r="P67" s="80" t="n">
        <f>IF(AND(ISNUMBER(O67),OR(AND(J67="Atende integralmente",O67=E67),AND(J67="Atende parcialmente",OR(O67=0,O67=1,O67=2)))),O67,0)</f>
        <v>0</v>
      </c>
      <c r="Q67" s="81" t="n"/>
      <c r="R67" s="78" t="n"/>
    </row>
    <row r="68" ht="173.8" customHeight="1" s="37">
      <c r="A68" s="68" t="inlineStr">
        <is>
          <t>RF-P-019</t>
        </is>
      </c>
      <c r="B68" s="69" t="inlineStr">
        <is>
          <t>Módulo de Indicadores de Comprometimento</t>
        </is>
      </c>
      <c r="C68" s="69" t="inlineStr">
        <is>
          <t>2 pontos - Disponibilizar dashboard de IoCs com lista direcionada originada de campanhas maliciosas.
2 pontos - Permitir que o InPACTA/Cliente envie seus próprios IoCs para correlação, alertas e enriquecimento.
1 ponto - Enriquecer cada IOC com contexto: campanhas associadas, fonte, timestamps e discussões underground.</t>
        </is>
      </c>
      <c r="D68" s="82" t="inlineStr">
        <is>
          <t>Pontuável - máximo 5 pontos</t>
        </is>
      </c>
      <c r="E68" s="83" t="n">
        <v>5</v>
      </c>
      <c r="F68"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7.10.</t>
        </is>
      </c>
      <c r="G68" s="110" t="inlineStr">
        <is>
          <t>Avaliação documental para NF/VTI; PoC posterior da convocada, na amostra comum aprovada.</t>
        </is>
      </c>
      <c r="H68" s="69" t="inlineStr">
        <is>
          <t>Atribuir somente os pontos dos subitens efetivamente demonstrados, respeitados os pesos individuais registrados.</t>
        </is>
      </c>
      <c r="I68" s="69" t="inlineStr">
        <is>
          <t>Não atribuição dos pontos do subitem não comprovado; não elimina isoladamente.</t>
        </is>
      </c>
      <c r="J68" s="78" t="n"/>
      <c r="K68" s="78" t="n"/>
      <c r="L68" s="78" t="n"/>
      <c r="M68" s="78" t="n"/>
      <c r="N68" s="78" t="n"/>
      <c r="O68" s="116" t="n">
        <f>SUM('Subitens RF-P'!H61:H63)</f>
        <v>0</v>
      </c>
      <c r="P68" s="80" t="n">
        <f>IF(AND(ISNUMBER(O68),OR(AND(J68="Atende integralmente",O68=E68),AND(J68="Atende parcialmente",OR(O68=0,O68=1,O68=2,O68=3,O68=4)))),O68,0)</f>
        <v>0</v>
      </c>
      <c r="Q68" s="84" t="n"/>
      <c r="R68" s="78" t="n"/>
    </row>
    <row r="69" ht="138" customHeight="1" s="37">
      <c r="A69" s="74" t="inlineStr">
        <is>
          <t>RF-P-020</t>
        </is>
      </c>
      <c r="B69" s="75" t="inlineStr">
        <is>
          <t>Visão Geral da Solução</t>
        </is>
      </c>
      <c r="C69" s="75" t="inlineStr">
        <is>
          <t>3 pontos - Geração de briefings diários de inteligência de ameaças.</t>
        </is>
      </c>
      <c r="D69" s="76" t="inlineStr">
        <is>
          <t>Pontuável - máximo 3 pontos</t>
        </is>
      </c>
      <c r="E69" s="77" t="n">
        <v>3</v>
      </c>
      <c r="F69"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8.1.</t>
        </is>
      </c>
      <c r="G69" s="115" t="inlineStr">
        <is>
          <t>Avaliação documental para NF/VTI; PoC posterior da convocada, na amostra comum aprovada.</t>
        </is>
      </c>
      <c r="H69" s="75" t="inlineStr">
        <is>
          <t>Atribuir somente os pontos dos subitens efetivamente demonstrados, respeitados os pesos individuais registrados.</t>
        </is>
      </c>
      <c r="I69" s="75" t="inlineStr">
        <is>
          <t>Não atribuição dos pontos do subitem não comprovado; não elimina isoladamente.</t>
        </is>
      </c>
      <c r="J69" s="78" t="n"/>
      <c r="K69" s="78" t="n"/>
      <c r="L69" s="78" t="n"/>
      <c r="M69" s="78" t="n"/>
      <c r="N69" s="78" t="n"/>
      <c r="O69" s="116" t="n">
        <f>SUM('Subitens RF-P'!H64:H64)</f>
        <v>0</v>
      </c>
      <c r="P69" s="80" t="n">
        <f>IF(AND(ISNUMBER(O69),OR(AND(J69="Atende integralmente",O69=E69),AND(J69="Atende parcialmente",OR(O69=0)))),O69,0)</f>
        <v>0</v>
      </c>
      <c r="Q69" s="81" t="n"/>
      <c r="R69" s="78" t="n"/>
    </row>
    <row r="70" ht="138" customHeight="1" s="37">
      <c r="A70" s="68" t="inlineStr">
        <is>
          <t>RF-P-021</t>
        </is>
      </c>
      <c r="B70" s="69" t="inlineStr">
        <is>
          <t>Interação por Meio de Ferramentas de Colaboração</t>
        </is>
      </c>
      <c r="C70" s="69" t="inlineStr">
        <is>
          <t>3 pontos - Capacidade de verificação e escalonamento de incidentes diretamente nas plataformas de colaboração.</t>
        </is>
      </c>
      <c r="D70" s="82" t="inlineStr">
        <is>
          <t>Pontuável - máximo 3 pontos</t>
        </is>
      </c>
      <c r="E70" s="83" t="n">
        <v>3</v>
      </c>
      <c r="F70"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8.3.</t>
        </is>
      </c>
      <c r="G70" s="110" t="inlineStr">
        <is>
          <t>Avaliação documental para NF/VTI; PoC posterior da convocada, na amostra comum aprovada.</t>
        </is>
      </c>
      <c r="H70" s="69" t="inlineStr">
        <is>
          <t>Atribuir somente os pontos dos subitens efetivamente demonstrados, respeitados os pesos individuais registrados.</t>
        </is>
      </c>
      <c r="I70" s="69" t="inlineStr">
        <is>
          <t>Não atribuição dos pontos do subitem não comprovado; não elimina isoladamente.</t>
        </is>
      </c>
      <c r="J70" s="78" t="n"/>
      <c r="K70" s="78" t="n"/>
      <c r="L70" s="78" t="n"/>
      <c r="M70" s="78" t="n"/>
      <c r="N70" s="78" t="n"/>
      <c r="O70" s="116" t="n">
        <f>SUM('Subitens RF-P'!H65:H65)</f>
        <v>0</v>
      </c>
      <c r="P70" s="80" t="n">
        <f>IF(AND(ISNUMBER(O70),OR(AND(J70="Atende integralmente",O70=E70),AND(J70="Atende parcialmente",OR(O70=0)))),O70,0)</f>
        <v>0</v>
      </c>
      <c r="Q70" s="84" t="n"/>
      <c r="R70" s="78" t="n"/>
    </row>
    <row r="71" ht="138" customHeight="1" s="37">
      <c r="A71" s="74" t="inlineStr">
        <is>
          <t>RF-P-022</t>
        </is>
      </c>
      <c r="B71" s="75" t="inlineStr">
        <is>
          <t>Ações Orquestradas, Validação de Credenciais e Relatórios</t>
        </is>
      </c>
      <c r="C71" s="75" t="inlineStr">
        <is>
          <t>2 pontos - Fluxos de trabalho de validação de incidentes, agilizando a triagem e a confirmação de ameaças.</t>
        </is>
      </c>
      <c r="D71" s="76" t="inlineStr">
        <is>
          <t>Pontuável - máximo 2 pontos</t>
        </is>
      </c>
      <c r="E71" s="77" t="n">
        <v>2</v>
      </c>
      <c r="F71" s="115" t="inlineStr">
        <is>
          <t>Fase documental: documentação técnica e evidências verificáveis da capacidade disponível, identificando subitem, versão, componente e licença; não basta declaração. Confirmação na PoC, se convocado: Acesso ao sistema (PoC) e teste prático. Ref.: Anexo I, item 8.5.</t>
        </is>
      </c>
      <c r="G71" s="115" t="inlineStr">
        <is>
          <t>Avaliação documental para NF/VTI; PoC posterior da convocada, na amostra comum aprovada.</t>
        </is>
      </c>
      <c r="H71" s="75" t="inlineStr">
        <is>
          <t>Atribuir somente os pontos dos subitens efetivamente demonstrados, respeitados os pesos individuais registrados.</t>
        </is>
      </c>
      <c r="I71" s="75" t="inlineStr">
        <is>
          <t>Não atribuição dos pontos do subitem não comprovado; não elimina isoladamente.</t>
        </is>
      </c>
      <c r="J71" s="78" t="n"/>
      <c r="K71" s="78" t="n"/>
      <c r="L71" s="78" t="n"/>
      <c r="M71" s="78" t="n"/>
      <c r="N71" s="78" t="n"/>
      <c r="O71" s="116" t="n">
        <f>SUM('Subitens RF-P'!H66:H66)</f>
        <v>0</v>
      </c>
      <c r="P71" s="80" t="n">
        <f>IF(AND(ISNUMBER(O71),OR(AND(J71="Atende integralmente",O71=E71),AND(J71="Atende parcialmente",OR(O71=0)))),O71,0)</f>
        <v>0</v>
      </c>
      <c r="Q71" s="81" t="n"/>
      <c r="R71" s="78" t="n"/>
    </row>
    <row r="72" ht="138" customHeight="1" s="37">
      <c r="A72" s="68" t="inlineStr">
        <is>
          <t>RF-P-023</t>
        </is>
      </c>
      <c r="B72" s="69" t="inlineStr">
        <is>
          <t>Suporte a Múltiplos Idiomas</t>
        </is>
      </c>
      <c r="C72" s="69" t="inlineStr">
        <is>
          <t>3 pontos - Permitir consultas, análises, investigações e apresentação de resultados em múltiplos idiomas, com tradução e interpretação contextual que preservem, tanto quanto tecnicamente possível, o significado técnico das informações processadas.</t>
        </is>
      </c>
      <c r="D72" s="82" t="inlineStr">
        <is>
          <t>Pontuável - máximo 3 pontos</t>
        </is>
      </c>
      <c r="E72" s="83" t="n">
        <v>3</v>
      </c>
      <c r="F72" s="110" t="inlineStr">
        <is>
          <t>Fase documental: documentação técnica e evidências verificáveis da capacidade disponível, identificando subitem, versão, componente e licença; não basta declaração. Confirmação na PoC, se convocado: Acesso ao sistema (PoC) e teste prático. Ref.: Anexo I, item 8.9.</t>
        </is>
      </c>
      <c r="G72" s="110" t="inlineStr">
        <is>
          <t>Avaliação documental para NF/VTI; PoC posterior da convocada, na amostra comum aprovada.</t>
        </is>
      </c>
      <c r="H72" s="69" t="inlineStr">
        <is>
          <t>Atribuir somente os pontos dos subitens efetivamente demonstrados, respeitados os pesos individuais registrados.</t>
        </is>
      </c>
      <c r="I72" s="69" t="inlineStr">
        <is>
          <t>Não atribuição dos pontos do subitem não comprovado; não elimina isoladamente.</t>
        </is>
      </c>
      <c r="J72" s="78" t="n"/>
      <c r="K72" s="78" t="n"/>
      <c r="L72" s="78" t="n"/>
      <c r="M72" s="78" t="n"/>
      <c r="N72" s="78" t="n"/>
      <c r="O72" s="116" t="n">
        <f>SUM('Subitens RF-P'!H67:H67)</f>
        <v>0</v>
      </c>
      <c r="P72" s="80" t="n">
        <f>IF(AND(ISNUMBER(O72),OR(AND(J72="Atende integralmente",O72=E72),AND(J72="Atende parcialmente",OR(O72=0)))),O72,0)</f>
        <v>0</v>
      </c>
      <c r="Q72" s="84" t="n"/>
      <c r="R72" s="78" t="n"/>
    </row>
  </sheetData>
  <sheetProtection selectLockedCells="0" selectUnlockedCells="0" sheet="1" objects="0" insertRows="1" insertHyperlinks="1" autoFilter="0" scenarios="0" formatColumns="1" deleteColumns="1" insertColumns="1" pivotTables="1" deleteRows="1" formatCells="1" formatRows="1" sort="0"/>
  <autoFilter ref="A6:R72"/>
  <mergeCells count="4">
    <mergeCell ref="A3:Q3"/>
    <mergeCell ref="A2:Q2"/>
    <mergeCell ref="A1:Q1"/>
    <mergeCell ref="A5:Q5"/>
  </mergeCells>
  <conditionalFormatting sqref="J7:J72">
    <cfRule type="containsText" priority="1" operator="containsText" dxfId="0" text="Não atende"/>
    <cfRule type="containsText" priority="2" operator="containsText" dxfId="1" text="Atende integralmente"/>
  </conditionalFormatting>
  <conditionalFormatting sqref="O7:O72">
    <cfRule type="expression" priority="3" dxfId="0">
      <formula>O7&gt;E7</formula>
    </cfRule>
  </conditionalFormatting>
  <dataValidations count="44">
    <dataValidation sqref="O7" showDropDown="0" showInputMessage="0" showErrorMessage="1" allowBlank="1" errorTitle="Situação e pontos divergentes" error="Atendimento integral: peso completo. Demais situações: zero; conclua as pendências antes do resultado." type="custom" errorStyle="stop">
      <formula1>OR(O7="",AND(ISNUMBER(O7),OR(AND(J7="Atende integralmente",O7=E7),AND(J7&lt;&gt;"Atende integralmente",O7=0))))</formula1>
    </dataValidation>
    <dataValidation sqref="O8" showDropDown="0" showInputMessage="0" showErrorMessage="1" allowBlank="1" errorTitle="Situação e pontos divergentes" error="Atendimento integral: peso completo. Demais situações: zero; conclua as pendências antes do resultado." type="custom" errorStyle="stop">
      <formula1>OR(O8="",AND(ISNUMBER(O8),OR(AND(J8="Atende integralmente",O8=E8),AND(J8&lt;&gt;"Atende integralmente",O8=0))))</formula1>
    </dataValidation>
    <dataValidation sqref="O9" showDropDown="0" showInputMessage="0" showErrorMessage="1" allowBlank="1" errorTitle="Situação e pontos divergentes" error="Atendimento integral: peso completo. Demais situações: zero; conclua as pendências antes do resultado." type="custom" errorStyle="stop">
      <formula1>OR(O9="",AND(ISNUMBER(O9),OR(AND(J9="Atende integralmente",O9=E9),AND(J9&lt;&gt;"Atende integralmente",O9=0))))</formula1>
    </dataValidation>
    <dataValidation sqref="O10" showDropDown="0" showInputMessage="0" showErrorMessage="1" allowBlank="1" errorTitle="Situação e pontos divergentes" error="Atendimento integral: peso completo. Demais situações: zero; conclua as pendências antes do resultado." type="custom" errorStyle="stop">
      <formula1>OR(O10="",AND(ISNUMBER(O10),OR(AND(J10="Atende integralmente",O10=E10),AND(J10&lt;&gt;"Atende integralmente",O10=0))))</formula1>
    </dataValidation>
    <dataValidation sqref="O11" showDropDown="0" showInputMessage="0" showErrorMessage="1" allowBlank="1" errorTitle="Situação e pontos divergentes" error="Atendimento integral: peso completo. Demais situações: zero; conclua as pendências antes do resultado." type="custom" errorStyle="stop">
      <formula1>OR(O11="",AND(ISNUMBER(O11),OR(AND(J11="Atende integralmente",O11=E11),AND(J11&lt;&gt;"Atende integralmente",O11=0))))</formula1>
    </dataValidation>
    <dataValidation sqref="O12" showDropDown="0" showInputMessage="0" showErrorMessage="1" allowBlank="1" errorTitle="Situação e pontos divergentes" error="Atendimento integral: peso completo. Demais situações: zero; conclua as pendências antes do resultado." type="custom" errorStyle="stop">
      <formula1>OR(O12="",AND(ISNUMBER(O12),OR(AND(J12="Atende integralmente",O12=E12),AND(J12&lt;&gt;"Atende integralmente",O12=0))))</formula1>
    </dataValidation>
    <dataValidation sqref="O13" showDropDown="0" showInputMessage="0" showErrorMessage="1" allowBlank="1" errorTitle="Situação e pontos divergentes" error="Atendimento integral: peso completo. Demais situações: zero; conclua as pendências antes do resultado." type="custom" errorStyle="stop">
      <formula1>OR(O13="",AND(ISNUMBER(O13),OR(AND(J13="Atende integralmente",O13=E13),AND(J13&lt;&gt;"Atende integralmente",O13=0))))</formula1>
    </dataValidation>
    <dataValidation sqref="O14" showDropDown="0" showInputMessage="0" showErrorMessage="1" allowBlank="1" errorTitle="Situação e pontos divergentes" error="Atendimento integral: peso completo. Demais situações: zero; conclua as pendências antes do resultado." type="custom" errorStyle="stop">
      <formula1>OR(O14="",AND(ISNUMBER(O14),OR(AND(J14="Atende integralmente",O14=E14),AND(J14&lt;&gt;"Atende integralmente",O14=0))))</formula1>
    </dataValidation>
    <dataValidation sqref="O15" showDropDown="0" showInputMessage="0" showErrorMessage="1" allowBlank="1" errorTitle="Situação e pontos divergentes" error="Atendimento integral: peso completo. Demais situações: zero; conclua as pendências antes do resultado." type="custom" errorStyle="stop">
      <formula1>OR(O15="",AND(ISNUMBER(O15),OR(AND(J15="Atende integralmente",O15=E15),AND(J15&lt;&gt;"Atende integralmente",O15=0))))</formula1>
    </dataValidation>
    <dataValidation sqref="O16" showDropDown="0" showInputMessage="0" showErrorMessage="1" allowBlank="1" errorTitle="Situação e pontos divergentes" error="Atendimento integral: peso completo. Demais situações: zero; conclua as pendências antes do resultado." type="custom" errorStyle="stop">
      <formula1>OR(O16="",AND(ISNUMBER(O16),OR(AND(J16="Atende integralmente",O16=E16),AND(J16&lt;&gt;"Atende integralmente",O16=0))))</formula1>
    </dataValidation>
    <dataValidation sqref="O17" showDropDown="0" showInputMessage="0" showErrorMessage="1" allowBlank="1" errorTitle="Situação e pontos divergentes" error="Atendimento integral: peso completo. Demais situações: zero; conclua as pendências antes do resultado." type="custom" errorStyle="stop">
      <formula1>OR(O17="",AND(ISNUMBER(O17),OR(AND(J17="Atende integralmente",O17=E17),AND(J17&lt;&gt;"Atende integralmente",O17=0))))</formula1>
    </dataValidation>
    <dataValidation sqref="O18" showDropDown="0" showInputMessage="0" showErrorMessage="1" allowBlank="1" errorTitle="Situação e pontos divergentes" error="Atendimento integral: peso completo. Demais situações: zero; conclua as pendências antes do resultado." type="custom" errorStyle="stop">
      <formula1>OR(O18="",AND(ISNUMBER(O18),OR(AND(J18="Atende integralmente",O18=E18),AND(J18&lt;&gt;"Atende integralmente",O18=0))))</formula1>
    </dataValidation>
    <dataValidation sqref="O19" showDropDown="0" showInputMessage="0" showErrorMessage="1" allowBlank="1" errorTitle="Situação e pontos divergentes" error="Atendimento integral: peso completo. Demais situações: zero; conclua as pendências antes do resultado." type="custom" errorStyle="stop">
      <formula1>OR(O19="",AND(ISNUMBER(O19),OR(AND(J19="Atende integralmente",O19=E19),AND(J19&lt;&gt;"Atende integralmente",O19=0))))</formula1>
    </dataValidation>
    <dataValidation sqref="O20" showDropDown="0" showInputMessage="0" showErrorMessage="1" allowBlank="1" errorTitle="Situação e pontos divergentes" error="Atendimento integral: peso completo. Demais situações: zero; conclua as pendências antes do resultado." type="custom" errorStyle="stop">
      <formula1>OR(O20="",AND(ISNUMBER(O20),OR(AND(J20="Atende integralmente",O20=E20),AND(J20&lt;&gt;"Atende integralmente",O20=0))))</formula1>
    </dataValidation>
    <dataValidation sqref="O21" showDropDown="0" showInputMessage="0" showErrorMessage="1" allowBlank="1" errorTitle="Situação e pontos divergentes" error="Atendimento integral: peso completo. Demais situações: zero; conclua as pendências antes do resultado." type="custom" errorStyle="stop">
      <formula1>OR(O21="",AND(ISNUMBER(O21),OR(AND(J21="Atende integralmente",O21=E21),AND(J21&lt;&gt;"Atende integralmente",O21=0))))</formula1>
    </dataValidation>
    <dataValidation sqref="O22" showDropDown="0" showInputMessage="0" showErrorMessage="1" allowBlank="1" errorTitle="Situação e pontos divergentes" error="Atendimento integral: peso completo. Demais situações: zero; conclua as pendências antes do resultado." type="custom" errorStyle="stop">
      <formula1>OR(O22="",AND(ISNUMBER(O22),OR(AND(J22="Atende integralmente",O22=E22),AND(J22&lt;&gt;"Atende integralmente",O22=0))))</formula1>
    </dataValidation>
    <dataValidation sqref="O23" showDropDown="0" showInputMessage="0" showErrorMessage="1" allowBlank="1" errorTitle="Situação e pontos divergentes" error="Atendimento integral: peso completo. Demais situações: zero; conclua as pendências antes do resultado." type="custom" errorStyle="stop">
      <formula1>OR(O23="",AND(ISNUMBER(O23),OR(AND(J23="Atende integralmente",O23=E23),AND(J23&lt;&gt;"Atende integralmente",O23=0))))</formula1>
    </dataValidation>
    <dataValidation sqref="O24" showDropDown="0" showInputMessage="0" showErrorMessage="1" allowBlank="1" errorTitle="Situação e pontos divergentes" error="Atendimento integral: peso completo. Demais situações: zero; conclua as pendências antes do resultado." type="custom" errorStyle="stop">
      <formula1>OR(O24="",AND(ISNUMBER(O24),OR(AND(J24="Atende integralmente",O24=E24),AND(J24&lt;&gt;"Atende integralmente",O24=0))))</formula1>
    </dataValidation>
    <dataValidation sqref="O25" showDropDown="0" showInputMessage="0" showErrorMessage="1" allowBlank="1" errorTitle="Situação e pontos divergentes" error="Atendimento integral: peso completo. Demais situações: zero; conclua as pendências antes do resultado." type="custom" errorStyle="stop">
      <formula1>OR(O25="",AND(ISNUMBER(O25),OR(AND(J25="Atende integralmente",O25=E25),AND(J25&lt;&gt;"Atende integralmente",O25=0))))</formula1>
    </dataValidation>
    <dataValidation sqref="O26" showDropDown="0" showInputMessage="0" showErrorMessage="1" allowBlank="1" errorTitle="Situação e pontos divergentes" error="Atendimento integral: peso completo. Demais situações: zero; conclua as pendências antes do resultado." type="custom" errorStyle="stop">
      <formula1>OR(O26="",AND(ISNUMBER(O26),OR(AND(J26="Atende integralmente",O26=E26),AND(J26&lt;&gt;"Atende integralmente",O26=0))))</formula1>
    </dataValidation>
    <dataValidation sqref="O27" showDropDown="0" showInputMessage="0" showErrorMessage="1" allowBlank="1" errorTitle="Situação e pontos divergentes" error="Atendimento integral: peso completo. Demais situações: zero; conclua as pendências antes do resultado." type="custom" errorStyle="stop">
      <formula1>OR(O27="",AND(ISNUMBER(O27),OR(AND(J27="Atende integralmente",O27=E27),AND(J27&lt;&gt;"Atende integralmente",O27=0))))</formula1>
    </dataValidation>
    <dataValidation sqref="O28" showDropDown="0" showInputMessage="0" showErrorMessage="1" allowBlank="1" errorTitle="Situação e pontos divergentes" error="Atendimento integral: peso completo. Demais situações: zero; conclua as pendências antes do resultado." type="custom" errorStyle="stop">
      <formula1>OR(O28="",AND(ISNUMBER(O28),OR(AND(J28="Atende integralmente",O28=E28),AND(J28&lt;&gt;"Atende integralmente",O28=0))))</formula1>
    </dataValidation>
    <dataValidation sqref="O29" showDropDown="0" showInputMessage="0" showErrorMessage="1" allowBlank="1" errorTitle="Situação e pontos divergentes" error="Atendimento integral: peso completo. Demais situações: zero; conclua as pendências antes do resultado." type="custom" errorStyle="stop">
      <formula1>OR(O29="",AND(ISNUMBER(O29),OR(AND(J29="Atende integralmente",O29=E29),AND(J29&lt;&gt;"Atende integralmente",O29=0))))</formula1>
    </dataValidation>
    <dataValidation sqref="O30" showDropDown="0" showInputMessage="0" showErrorMessage="1" allowBlank="1" errorTitle="Situação e pontos divergentes" error="Atendimento integral: peso completo. Demais situações: zero; conclua as pendências antes do resultado." type="custom" errorStyle="stop">
      <formula1>OR(O30="",AND(ISNUMBER(O30),OR(AND(J30="Atende integralmente",O30=E30),AND(J30&lt;&gt;"Atende integralmente",O30=0))))</formula1>
    </dataValidation>
    <dataValidation sqref="O31" showDropDown="0" showInputMessage="0" showErrorMessage="1" allowBlank="1" errorTitle="Situação e pontos divergentes" error="Atendimento integral: peso completo. Demais situações: zero; conclua as pendências antes do resultado." type="custom" errorStyle="stop">
      <formula1>OR(O31="",AND(ISNUMBER(O31),OR(AND(J31="Atende integralmente",O31=E31),AND(J31&lt;&gt;"Atende integralmente",O31=0))))</formula1>
    </dataValidation>
    <dataValidation sqref="O32" showDropDown="0" showInputMessage="0" showErrorMessage="1" allowBlank="1" errorTitle="Situação e pontos divergentes" error="Atendimento integral: peso completo. Demais situações: zero; conclua as pendências antes do resultado." type="custom" errorStyle="stop">
      <formula1>OR(O32="",AND(ISNUMBER(O32),OR(AND(J32="Atende integralmente",O32=E32),AND(J32&lt;&gt;"Atende integralmente",O32=0))))</formula1>
    </dataValidation>
    <dataValidation sqref="O33" showDropDown="0" showInputMessage="0" showErrorMessage="1" allowBlank="1" errorTitle="Situação e pontos divergentes" error="Atendimento integral: peso completo. Demais situações: zero; conclua as pendências antes do resultado." type="custom" errorStyle="stop">
      <formula1>OR(O33="",AND(ISNUMBER(O33),OR(AND(J33="Atende integralmente",O33=E33),AND(J33&lt;&gt;"Atende integralmente",O33=0))))</formula1>
    </dataValidation>
    <dataValidation sqref="O34" showDropDown="0" showInputMessage="0" showErrorMessage="1" allowBlank="1" errorTitle="Situação e pontos divergentes" error="Atendimento integral: peso completo. Demais situações: zero; conclua as pendências antes do resultado." type="custom" errorStyle="stop">
      <formula1>OR(O34="",AND(ISNUMBER(O34),OR(AND(J34="Atende integralmente",O34=E34),AND(J34&lt;&gt;"Atende integralmente",O34=0))))</formula1>
    </dataValidation>
    <dataValidation sqref="O36" showDropDown="0" showInputMessage="0" showErrorMessage="1" allowBlank="1" errorTitle="Situação e pontos divergentes" error="Atendimento integral: peso completo. Demais situações: zero; conclua as pendências antes do resultado." type="custom" errorStyle="stop">
      <formula1>OR(O36="",AND(ISNUMBER(O36),OR(AND(J36="Atende integralmente",O36=E36),AND(J36&lt;&gt;"Atende integralmente",O36=0))))</formula1>
    </dataValidation>
    <dataValidation sqref="O37" showDropDown="0" showInputMessage="0" showErrorMessage="1" allowBlank="1" errorTitle="Situação e pontos divergentes" error="Atendimento integral: peso completo. Demais situações: zero; conclua as pendências antes do resultado." type="custom" errorStyle="stop">
      <formula1>OR(O37="",AND(ISNUMBER(O37),OR(AND(J37="Atende integralmente",O37=E37),AND(J37&lt;&gt;"Atende integralmente",O37=0))))</formula1>
    </dataValidation>
    <dataValidation sqref="O38" showDropDown="0" showInputMessage="0" showErrorMessage="1" allowBlank="1" errorTitle="Situação e pontos divergentes" error="Atendimento integral: peso completo. Demais situações: zero; conclua as pendências antes do resultado." type="custom" errorStyle="stop">
      <formula1>OR(O38="",AND(ISNUMBER(O38),OR(AND(J38="Atende integralmente",O38=E38),AND(J38&lt;&gt;"Atende integralmente",O38=0))))</formula1>
    </dataValidation>
    <dataValidation sqref="O39" showDropDown="0" showInputMessage="0" showErrorMessage="1" allowBlank="1" errorTitle="Situação e pontos divergentes" error="Atendimento integral: peso completo. Demais situações: zero; conclua as pendências antes do resultado." type="custom" errorStyle="stop">
      <formula1>OR(O39="",AND(ISNUMBER(O39),OR(AND(J39="Atende integralmente",O39=E39),AND(J39&lt;&gt;"Atende integralmente",O39=0))))</formula1>
    </dataValidation>
    <dataValidation sqref="O40" showDropDown="0" showInputMessage="0" showErrorMessage="1" allowBlank="1" errorTitle="Situação e pontos divergentes" error="Atendimento integral: peso completo. Demais situações: zero; conclua as pendências antes do resultado." type="custom" errorStyle="stop">
      <formula1>OR(O40="",AND(ISNUMBER(O40),OR(AND(J40="Atende integralmente",O40=E40),AND(J40&lt;&gt;"Atende integralmente",O40=0))))</formula1>
    </dataValidation>
    <dataValidation sqref="O41" showDropDown="0" showInputMessage="0" showErrorMessage="1" allowBlank="1" errorTitle="Situação e pontos divergentes" error="Atendimento integral: peso completo. Demais situações: zero; conclua as pendências antes do resultado." type="custom" errorStyle="stop">
      <formula1>OR(O41="",AND(ISNUMBER(O41),OR(AND(J41="Atende integralmente",O41=E41),AND(J41&lt;&gt;"Atende integralmente",O41=0))))</formula1>
    </dataValidation>
    <dataValidation sqref="O42" showDropDown="0" showInputMessage="0" showErrorMessage="1" allowBlank="1" errorTitle="Situação e pontos divergentes" error="Atendimento integral: peso completo. Demais situações: zero; conclua as pendências antes do resultado." type="custom" errorStyle="stop">
      <formula1>OR(O42="",AND(ISNUMBER(O42),OR(AND(J42="Atende integralmente",O42=E42),AND(J42&lt;&gt;"Atende integralmente",O42=0))))</formula1>
    </dataValidation>
    <dataValidation sqref="O43" showDropDown="0" showInputMessage="0" showErrorMessage="1" allowBlank="1" errorTitle="Situação e pontos divergentes" error="Atendimento integral: peso completo. Demais situações: zero; conclua as pendências antes do resultado." type="custom" errorStyle="stop">
      <formula1>OR(O43="",AND(ISNUMBER(O43),OR(AND(J43="Atende integralmente",O43=E43),AND(J43&lt;&gt;"Atende integralmente",O43=0))))</formula1>
    </dataValidation>
    <dataValidation sqref="O44" showDropDown="0" showInputMessage="0" showErrorMessage="1" allowBlank="1" errorTitle="Situação e pontos divergentes" error="Atendimento integral: peso completo. Demais situações: zero; conclua as pendências antes do resultado." type="custom" errorStyle="stop">
      <formula1>OR(O44="",AND(ISNUMBER(O44),OR(AND(J44="Atende integralmente",O44=E44),AND(J44&lt;&gt;"Atende integralmente",O44=0))))</formula1>
    </dataValidation>
    <dataValidation sqref="O45" showDropDown="0" showInputMessage="0" showErrorMessage="1" allowBlank="1" errorTitle="Situação e pontos divergentes" error="Atendimento integral: peso completo. Demais situações: zero; conclua as pendências antes do resultado." type="custom" errorStyle="stop">
      <formula1>OR(O45="",AND(ISNUMBER(O45),OR(AND(J45="Atende integralmente",O45=E45),AND(J45&lt;&gt;"Atende integralmente",O45=0))))</formula1>
    </dataValidation>
    <dataValidation sqref="O46" showDropDown="0" showInputMessage="0" showErrorMessage="1" allowBlank="1" errorTitle="Situação e pontos divergentes" error="Atendimento integral: peso completo. Demais situações: zero; conclua as pendências antes do resultado." type="custom" errorStyle="stop">
      <formula1>OR(O46="",AND(ISNUMBER(O46),OR(AND(J46="Atende integralmente",O46=E46),AND(J46&lt;&gt;"Atende integralmente",O46=0))))</formula1>
    </dataValidation>
    <dataValidation sqref="O47" showDropDown="0" showInputMessage="0" showErrorMessage="1" allowBlank="1" errorTitle="Situação e pontos divergentes" error="Atendimento integral: peso completo. Demais situações: zero; conclua as pendências antes do resultado." type="custom" errorStyle="stop">
      <formula1>OR(O47="",AND(ISNUMBER(O47),OR(AND(J47="Atende integralmente",O47=E47),AND(J47&lt;&gt;"Atende integralmente",O47=0))))</formula1>
    </dataValidation>
    <dataValidation sqref="O48" showDropDown="0" showInputMessage="0" showErrorMessage="1" allowBlank="1" errorTitle="Situação e pontos divergentes" error="Atendimento integral: peso completo. Demais situações: zero; conclua as pendências antes do resultado." type="custom" errorStyle="stop">
      <formula1>OR(O48="",AND(ISNUMBER(O48),OR(AND(J48="Atende integralmente",O48=E48),AND(J48&lt;&gt;"Atende integralmente",O48=0))))</formula1>
    </dataValidation>
    <dataValidation sqref="O49" showDropDown="0" showInputMessage="0" showErrorMessage="1" allowBlank="1" errorTitle="Situação e pontos divergentes" error="Atendimento integral: peso completo. Demais situações: zero; conclua as pendências antes do resultado." type="custom" errorStyle="stop">
      <formula1>OR(O49="",AND(ISNUMBER(O49),OR(AND(J49="Atende integralmente",O49=E49),AND(J49&lt;&gt;"Atende integralmente",O49=0))))</formula1>
    </dataValidation>
    <dataValidation sqref="R7:R72" showDropDown="0" showInputMessage="0" showErrorMessage="1" allowBlank="1" errorTitle="Situação declarada" error="Selecione uma situação da lista." type="list">
      <formula1>=Situacoes_Avaliacao</formula1>
    </dataValidation>
    <dataValidation sqref="J7:J72" showDropDown="0" showInputMessage="0" showErrorMessage="1" allowBlank="1" errorTitle="Resultado para cálculo" error="Registre a conclusão normalizada da Comissão. Ocorrências e pendências ficam em N e Q." type="list">
      <formula1>=Resultados_Comissao</formula1>
    </dataValidation>
  </dataValidations>
  <pageMargins left="0.7" right="0.7" top="0.75" bottom="0.75" header="0.3" footer="0.3"/>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FF001A33"/>
    <outlinePr summaryBelow="1" summaryRight="1"/>
    <pageSetUpPr/>
  </sheetPr>
  <dimension ref="A1:H21"/>
  <sheetViews>
    <sheetView showGridLines="0" workbookViewId="0">
      <selection activeCell="A1" sqref="A1"/>
    </sheetView>
  </sheetViews>
  <sheetFormatPr baseColWidth="8" defaultRowHeight="14.15"/>
  <cols>
    <col width="34" customWidth="1" style="37" min="1" max="1"/>
    <col width="22" customWidth="1" style="37" min="2" max="2"/>
    <col width="14" customWidth="1" style="37" min="3" max="8"/>
  </cols>
  <sheetData>
    <row r="1" ht="28.2" customHeight="1" s="37">
      <c r="A1" s="64" t="inlineStr">
        <is>
          <t>RESUMO DA AVALIAÇÃO FUNCIONAL</t>
        </is>
      </c>
      <c r="B1" s="33" t="n"/>
      <c r="C1" s="33" t="n"/>
      <c r="D1" s="33" t="n"/>
      <c r="E1" s="33" t="n"/>
      <c r="F1" s="33" t="n"/>
      <c r="G1" s="33" t="n"/>
      <c r="H1" s="34" t="n"/>
    </row>
    <row r="2" ht="28.2" customHeight="1" s="37">
      <c r="A2" s="65" t="inlineStr">
        <is>
          <t>PROCESSO ADMINISTRATIVO 006/2026 · SOLUÇÃO INTEGRADA PARA CIBERSEGURANÇA</t>
        </is>
      </c>
      <c r="B2" s="33" t="n"/>
      <c r="C2" s="33" t="n"/>
      <c r="D2" s="33" t="n"/>
      <c r="E2" s="33" t="n"/>
      <c r="F2" s="33" t="n"/>
      <c r="G2" s="33" t="n"/>
      <c r="H2" s="34" t="n"/>
    </row>
    <row r="3" ht="16.75" customHeight="1" s="37">
      <c r="A3" s="66" t="n"/>
      <c r="B3" s="66" t="n"/>
      <c r="C3" s="66" t="n"/>
      <c r="D3" s="66" t="n"/>
      <c r="E3" s="66" t="n"/>
      <c r="F3" s="66" t="n"/>
      <c r="G3" s="66" t="n"/>
      <c r="H3" s="66" t="n"/>
    </row>
    <row r="4" ht="28.2" customHeight="1" s="37">
      <c r="A4" s="73" t="inlineStr">
        <is>
          <t>Indicador</t>
        </is>
      </c>
      <c r="B4" s="73" t="inlineStr">
        <is>
          <t>Resultado</t>
        </is>
      </c>
      <c r="C4" s="85" t="n"/>
      <c r="D4" s="85" t="n"/>
      <c r="E4" s="85" t="n"/>
      <c r="F4" s="85" t="n"/>
      <c r="G4" s="85" t="n"/>
      <c r="H4" s="85" t="n"/>
    </row>
    <row r="5" ht="28.2" customHeight="1" s="37">
      <c r="A5" s="107" t="inlineStr">
        <is>
          <t>Requisitos eliminatórios</t>
        </is>
      </c>
      <c r="B5" s="108" t="n">
        <v>42</v>
      </c>
      <c r="C5" s="66" t="n"/>
      <c r="D5" s="66" t="n"/>
      <c r="E5" s="66" t="n"/>
      <c r="F5" s="66" t="n"/>
      <c r="G5" s="66" t="n"/>
      <c r="H5" s="66" t="n"/>
    </row>
    <row r="6" ht="28.2" customHeight="1" s="37">
      <c r="A6" s="107" t="inlineStr">
        <is>
          <t>Eliminatórios atendidos</t>
        </is>
      </c>
      <c r="B6" s="108" t="n">
        <f>IF(Requisitos!$J$7="Atende integralmente",1,0)+IF(Requisitos!$J$8="Atende integralmente",1,0)+IF(Requisitos!$J$9="Atende integralmente",1,0)+IF(Requisitos!$J$10="Atende integralmente",1,0)+IF(Requisitos!$J$11="Atende integralmente",1,0)+IF(Requisitos!$J$12="Atende integralmente",1,0)+IF(Requisitos!$J$13="Atende integralmente",1,0)+IF(Requisitos!$J$14="Atende integralmente",1,0)+IF(Requisitos!$J$15="Atende integralmente",1,0)+IF(Requisitos!$J$16="Atende integralmente",1,0)+IF(Requisitos!$J$17="Atende integralmente",1,0)+IF(Requisitos!$J$18="Atende integralmente",1,0)+IF(Requisitos!$J$19="Atende integralmente",1,0)+IF(Requisitos!$J$20="Atende integralmente",1,0)+IF(Requisitos!$J$21="Atende integralmente",1,0)+IF(Requisitos!$J$22="Atende integralmente",1,0)+IF(Requisitos!$J$23="Atende integralmente",1,0)+IF(Requisitos!$J$24="Atende integralmente",1,0)+IF(Requisitos!$J$25="Atende integralmente",1,0)+IF(Requisitos!$J$26="Atende integralmente",1,0)+IF(Requisitos!$J$27="Atende integralmente",1,0)+IF(Requisitos!$J$28="Atende integralmente",1,0)+IF(Requisitos!$J$29="Atende integralmente",1,0)+IF(Requisitos!$J$30="Atende integralmente",1,0)+IF(Requisitos!$J$31="Atende integralmente",1,0)+IF(Requisitos!$J$32="Atende integralmente",1,0)+IF(Requisitos!$J$33="Atende integralmente",1,0)+IF(Requisitos!$J$34="Atende integralmente",1,0)+IF(Requisitos!$J$36="Atende integralmente",1,0)+IF(Requisitos!$J$37="Atende integralmente",1,0)+IF(Requisitos!$J$38="Atende integralmente",1,0)+IF(Requisitos!$J$39="Atende integralmente",1,0)+IF(Requisitos!$J$40="Atende integralmente",1,0)+IF(Requisitos!$J$41="Atende integralmente",1,0)+IF(Requisitos!$J$42="Atende integralmente",1,0)+IF(Requisitos!$J$43="Atende integralmente",1,0)+IF(Requisitos!$J$44="Atende integralmente",1,0)+IF(Requisitos!$J$45="Atende integralmente",1,0)+IF(Requisitos!$J$46="Atende integralmente",1,0)+IF(Requisitos!$J$47="Atende integralmente",1,0)+IF(Requisitos!$J$48="Atende integralmente",1,0)+IF(Requisitos!$J$49="Atende integralmente",1,0)</f>
        <v>0</v>
      </c>
      <c r="C6" s="66" t="n"/>
      <c r="D6" s="66" t="n"/>
      <c r="E6" s="66" t="n"/>
      <c r="F6" s="66" t="n"/>
      <c r="G6" s="66" t="n"/>
      <c r="H6" s="66" t="n"/>
    </row>
    <row r="7" ht="28.2" customHeight="1" s="37">
      <c r="A7" s="117" t="inlineStr">
        <is>
          <t>Eliminatórios sem atendimento confirmado</t>
        </is>
      </c>
      <c r="B7" s="68" t="n">
        <f>B5-B6</f>
        <v>42</v>
      </c>
      <c r="C7" s="66" t="n"/>
      <c r="D7" s="66" t="n"/>
      <c r="E7" s="66" t="n"/>
      <c r="F7" s="66" t="n"/>
      <c r="G7" s="66" t="n"/>
      <c r="H7" s="66" t="n"/>
    </row>
    <row r="8" ht="28.2" customHeight="1" s="37">
      <c r="A8" s="88" t="inlineStr">
        <is>
          <t>Pontuação validada</t>
        </is>
      </c>
      <c r="B8" s="68" t="n">
        <f>SUM(Requisitos!$P$7:$P$72)</f>
        <v>0</v>
      </c>
      <c r="C8" s="66" t="n"/>
      <c r="D8" s="66" t="n"/>
      <c r="E8" s="66" t="n"/>
      <c r="F8" s="66" t="n"/>
      <c r="G8" s="66" t="n"/>
      <c r="H8" s="66" t="n"/>
    </row>
    <row r="9" ht="28.2" customHeight="1" s="37">
      <c r="A9" s="88" t="inlineStr">
        <is>
          <t>Pontuação mínima</t>
        </is>
      </c>
      <c r="B9" s="68" t="n">
        <v>70</v>
      </c>
      <c r="C9" s="66" t="n"/>
      <c r="D9" s="66" t="n"/>
      <c r="E9" s="66" t="n"/>
      <c r="F9" s="66" t="n"/>
      <c r="G9" s="66" t="n"/>
      <c r="H9" s="66" t="n"/>
    </row>
    <row r="10" ht="28.2" customHeight="1" s="37">
      <c r="A10" s="88" t="inlineStr">
        <is>
          <t>Resultado da matriz</t>
        </is>
      </c>
      <c r="B10" s="118" t="str">
        <f>IF(OR(B19="",B20="",B21=""),"PENDENTE",IF(Controle!B74&gt;0,"PENDENTE DE CONFERÊNCIA",IF(Controle!B73&gt;0,"PENDENTE",IF(AND(B7=0,B8&gt;=B9),"APROVADO","NÃO APROVADO"))))</f>
        <v>PENDENTE</v>
      </c>
      <c r="C10" s="66" t="n"/>
      <c r="D10" s="66" t="n"/>
      <c r="E10" s="66" t="n"/>
      <c r="F10" s="66" t="n"/>
      <c r="G10" s="66" t="n"/>
      <c r="H10" s="66" t="n"/>
    </row>
    <row r="11" ht="46.4" customHeight="1" s="37">
      <c r="A11" s="90" t="inlineStr">
        <is>
          <t>Contribuição funcional para o VTI</t>
        </is>
      </c>
      <c r="B11" s="91" t="n">
        <f>IF(B10="APROVADO",B8*60%,0)</f>
        <v>0</v>
      </c>
      <c r="C11" s="66" t="n"/>
      <c r="D11" s="66" t="n"/>
      <c r="E11" s="66" t="n"/>
      <c r="F11" s="66" t="n"/>
      <c r="G11" s="66" t="n"/>
      <c r="H11" s="66" t="n"/>
    </row>
    <row r="12" ht="46.4" customHeight="1" s="37">
      <c r="A12" s="92" t="inlineStr">
        <is>
          <t>A aprovação exige todos os eliminatórios e pelo menos 70 pontos. Para propostas qualificadas, a contribuição funcional ao VTI é a nota validada multiplicada por 0,60, limitada a 60 pontos.</t>
        </is>
      </c>
      <c r="B12" s="33" t="n"/>
      <c r="C12" s="33" t="n"/>
      <c r="D12" s="33" t="n"/>
      <c r="E12" s="33" t="n"/>
      <c r="F12" s="33" t="n"/>
      <c r="G12" s="33" t="n"/>
      <c r="H12" s="34" t="n"/>
    </row>
    <row r="13">
      <c r="A13" s="71" t="n"/>
      <c r="B13" s="71" t="n"/>
      <c r="C13" s="71" t="n"/>
      <c r="D13" s="71" t="n"/>
      <c r="E13" s="71" t="n"/>
      <c r="F13" s="71" t="n"/>
      <c r="G13" s="71" t="n"/>
      <c r="H13" s="71" t="n"/>
    </row>
    <row r="14" ht="48" customHeight="1" s="37">
      <c r="A14" s="88" t="inlineStr">
        <is>
          <t>Pendências de preenchimento</t>
        </is>
      </c>
      <c r="B14" s="68" t="n">
        <f>Controle!B73</f>
        <v>65</v>
      </c>
      <c r="C14" s="71" t="n"/>
      <c r="D14" s="71" t="n"/>
      <c r="E14" s="71" t="n"/>
      <c r="F14" s="71" t="n"/>
      <c r="G14" s="71" t="n"/>
      <c r="H14" s="71" t="n"/>
    </row>
    <row r="15" ht="48" customHeight="1" s="37">
      <c r="A15" s="88" t="inlineStr">
        <is>
          <t>Inconsistências de preenchimento</t>
        </is>
      </c>
      <c r="B15" s="68" t="n">
        <f>Controle!B74</f>
        <v>0</v>
      </c>
      <c r="C15" s="71" t="n"/>
      <c r="D15" s="71" t="n"/>
      <c r="E15" s="71" t="n"/>
      <c r="F15" s="71" t="n"/>
      <c r="G15" s="71" t="n"/>
      <c r="H15" s="71" t="n"/>
    </row>
    <row r="16">
      <c r="A16" s="71" t="n"/>
      <c r="B16" s="71" t="n"/>
      <c r="C16" s="71" t="n"/>
      <c r="D16" s="71" t="n"/>
      <c r="E16" s="71" t="n"/>
      <c r="F16" s="71" t="n"/>
      <c r="G16" s="71" t="n"/>
      <c r="H16" s="71" t="n"/>
    </row>
    <row r="17" ht="34" customHeight="1" s="37">
      <c r="A17" s="93" t="inlineStr">
        <is>
          <t>PENDENTE ou PENDENTE DE CONFERÊNCIA: concluir a análise/corrigir o registro antes de emitir o resultado. O controle não substitui a conferência documental.</t>
        </is>
      </c>
      <c r="B17" s="59" t="n"/>
      <c r="C17" s="59" t="n"/>
      <c r="D17" s="59" t="n"/>
      <c r="E17" s="59" t="n"/>
      <c r="F17" s="59" t="n"/>
      <c r="G17" s="59" t="n"/>
      <c r="H17" s="60" t="n"/>
    </row>
    <row r="18" ht="34" customHeight="1" s="37">
      <c r="A18" s="61" t="n"/>
      <c r="B18" s="62" t="n"/>
      <c r="C18" s="62" t="n"/>
      <c r="D18" s="62" t="n"/>
      <c r="E18" s="62" t="n"/>
      <c r="F18" s="62" t="n"/>
      <c r="G18" s="62" t="n"/>
      <c r="H18" s="63" t="n"/>
    </row>
    <row r="19" ht="36" customHeight="1" s="37">
      <c r="A19" s="109" t="inlineStr">
        <is>
          <t>Fase desta avaliação</t>
        </is>
      </c>
      <c r="B19" s="119" t="n"/>
    </row>
    <row r="20" ht="36" customHeight="1" s="37">
      <c r="A20" s="109" t="inlineStr">
        <is>
          <t>Interessada</t>
        </is>
      </c>
      <c r="B20" s="119" t="n"/>
    </row>
    <row r="21" ht="36" customHeight="1" s="37">
      <c r="A21" s="109" t="inlineStr">
        <is>
          <t>Identificação do registro de avaliação</t>
        </is>
      </c>
      <c r="B21" s="119" t="n"/>
    </row>
  </sheetData>
  <sheetProtection selectLockedCells="0" selectUnlockedCells="0" sheet="1" objects="0" insertRows="1" insertHyperlinks="1" autoFilter="0" scenarios="0" formatColumns="1" deleteColumns="1" insertColumns="1" pivotTables="1" deleteRows="1" formatCells="1" formatRows="1" sort="0"/>
  <mergeCells count="4">
    <mergeCell ref="A12:H12"/>
    <mergeCell ref="A17:H18"/>
    <mergeCell ref="A2:H2"/>
    <mergeCell ref="A1:H1"/>
  </mergeCells>
  <conditionalFormatting sqref="B10">
    <cfRule type="expression" priority="1" dxfId="1">
      <formula>B10="APROVADO"</formula>
    </cfRule>
    <cfRule type="expression" priority="2" dxfId="0">
      <formula>B10="NÃO APROVADO"</formula>
    </cfRule>
  </conditionalFormatting>
  <dataValidations count="1">
    <dataValidation sqref="B19" showDropDown="0" showInputMessage="0" showErrorMessage="0" allowBlank="1" type="list">
      <formula1>"Documental,Pós-PoC (revisão)"</formula1>
    </dataValidation>
  </dataValidations>
  <pageMargins left="0.7" right="0.7" top="0.75" bottom="0.75" header="0.3" footer="0.3"/>
</worksheet>
</file>

<file path=xl/worksheets/sheet4.xml><?xml version="1.0" encoding="utf-8"?>
<worksheet xmlns="http://schemas.openxmlformats.org/spreadsheetml/2006/main">
  <sheetPr>
    <outlinePr summaryBelow="1" summaryRight="1"/>
    <pageSetUpPr fitToPage="1"/>
  </sheetPr>
  <dimension ref="A1:C73"/>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4.15"/>
  <cols>
    <col width="18" customWidth="1" style="37" min="1" max="1"/>
    <col width="112" customWidth="1" style="37" min="2" max="2"/>
    <col width="24" customWidth="1" style="37" min="3" max="3"/>
  </cols>
  <sheetData>
    <row r="1" ht="30" customHeight="1" s="37">
      <c r="A1" s="101" t="inlineStr">
        <is>
          <t>LEITURA INTEGRAL DOS REQUISITOS</t>
        </is>
      </c>
    </row>
    <row r="2" ht="36" customHeight="1" s="37">
      <c r="A2" s="102" t="inlineStr">
        <is>
          <t>Visualização auxiliar vinculada à matriz. Cada código continua sendo um único requisito, mesmo quando distribuído em mais de uma linha.</t>
        </is>
      </c>
    </row>
    <row r="3">
      <c r="A3" s="71" t="n"/>
      <c r="B3" s="71" t="n"/>
      <c r="C3" s="71" t="n"/>
    </row>
    <row r="4" ht="27" customHeight="1" s="37">
      <c r="A4" s="103" t="inlineStr">
        <is>
          <t>Código</t>
        </is>
      </c>
      <c r="B4" s="103" t="inlineStr">
        <is>
          <t>Texto integral da célula de origem</t>
        </is>
      </c>
      <c r="C4" s="103" t="inlineStr">
        <is>
          <t>Referência</t>
        </is>
      </c>
    </row>
    <row r="5" ht="108" customHeight="1" s="37">
      <c r="A5" s="104" t="str">
        <f>Requisitos!A7</f>
        <v>RF-E-001</v>
      </c>
      <c r="B5" s="104" t="str">
        <f>MID(Requisitos!C7,1,626)</f>
        <v>- Relatório de identificação de vulnerabilidades reais: consolidando todas as vulnerabilidades identificadas no período, com descrição técnica, classificação por severidade e evidências de exploração.
- Relatório de avaliação de impacto e risco: apresentando a análise do impacto potencial de cada vulnerabilidade identificada no ambiente do InPACTA/Cliente, com priorização baseada em risco real e contextualizado.
- Relatório de acompanhamento de correções: registrando o status de remediação de cada vulnerabilidade apontada nos ciclos anteriores, com validação das correções implementadas e atualização do perfil de risco.</v>
      </c>
      <c r="C5" s="104" t="inlineStr">
        <is>
          <t>Requisitos!C7 (1/1)</t>
        </is>
      </c>
    </row>
    <row r="6" ht="123" customHeight="1" s="37">
      <c r="A6" s="105" t="str">
        <f>Requisitos!A8</f>
        <v>RF-E-002</v>
      </c>
      <c r="B6" s="105" t="str">
        <f>MID(Requisitos!C8,1,752)</f>
        <v>- Relatório de identificação de superfícies de ataque: mapeamento completo dos vetores e pontos de entrada identificados nos ativos avaliados, incluindo serviços expostos, tecnologias em uso e configurações relevantes.
- Relatório de validação de vulnerabilidades exploráveis: documentação técnica das vulnerabilidades confirmadas como exploráveis no ambiente do InPACTA/Cliente, com evidências, classificação por severidade e referências a bases de vulnerabilidades reconhecidas (CVE, CVSS).
- Relatório de avaliação do impacto real no ambiente: análise do impacto potencial de cada vulnerabilidade explorada ou explorável, considerando a criticidade dos sistemas afetados, os dados em risco e os possíveis desdobramentos operacionais e reputacionais.</v>
      </c>
      <c r="C6" s="105" t="inlineStr">
        <is>
          <t>Requisitos!C8 (1/1)</t>
        </is>
      </c>
    </row>
    <row r="7" ht="138" customHeight="1" s="37">
      <c r="A7" s="104" t="str">
        <f>Requisitos!A9</f>
        <v>RF-E-003</v>
      </c>
      <c r="B7" s="104" t="str">
        <f>MID(Requisitos!C9,1,801)</f>
        <v>- Realizar varreduras recorrentes de vulnerabilidades nos ativos do InPACTA/Cliente, com periodicidade mínima mensal e cobertura de todos os sistemas em escopo.
- Realizar validação técnica dos achados identificados nas varreduras, confirmando a real explorabilidade de cada vulnerabilidade no contexto do ambiente do InPACTA/Cliente.
-Identificar, classificar e registrar falsos positivos, duplicidades e achados sem impacto relevante, de modo que os relatórios priorizem vulnerabilidades efetivamente verificadas e reduzam esforços desnecessários das equipes técnicas da INPACTA/CLIENTE.
- Priorizar as vulnerabilidades identificadas com base em risco e impacto, considerando a criticidade do ativo afetado, a facilidade de exploração, o impacto potencial e o contexto operacional do InPACTA/Cliente</v>
      </c>
      <c r="C7" s="104" t="inlineStr">
        <is>
          <t>Requisitos!C9 (1/1)</t>
        </is>
      </c>
    </row>
    <row r="8" ht="168" customHeight="1" s="37">
      <c r="A8" s="105" t="str">
        <f>Requisitos!A10</f>
        <v>RF-E-004</v>
      </c>
      <c r="B8" s="105" t="str">
        <f>MID(Requisitos!C10,1,865)</f>
        <v>- Cobrir fontes publicamente disponíveis com o objetivo de busca de domínios e subdomínios, replicando as técnicas que atacantes utilizariam para reconhecimento.
- Encontrar todos os subdomínios sob um domínio monitorado, incluindo ativos desconhecidos ou não gerenciados.
- Permitir verificações e varreduras ativas controladas exclusivamente sobre FQDNs e endereços IPv4 públicos atribuídos ou formalmente autorizados pela INPACTA/CLIENTE, com níveis e cronogramas configuráveis, inclusive ciclos diários, conforme criticidade e regras de engajamento.
- Fornecer gestão de superfície de ataque externa integrada com inteligência de ameaças cibernéticas e soluções automatizadas de simulação de violação e ataque.
- Permitir que os usuários construam alvos em qualquer ativo exposto à internet e o escaneiem em busca de fraquezas usando scanners passivos e ativos.</v>
      </c>
      <c r="C8" s="105" t="inlineStr">
        <is>
          <t>Requisitos!C10 (1/1)</t>
        </is>
      </c>
    </row>
    <row r="9" ht="48" customHeight="1" s="37">
      <c r="A9" s="104" t="str">
        <f>Requisitos!A11</f>
        <v>RF-E-005</v>
      </c>
      <c r="B9" s="104" t="str">
        <f>MID(Requisitos!C11,1,143)</f>
        <v>- Reanalisar recursivamente cada ativo descoberto para identificar novos ativos e novos domínios relacionados de forma contínua e automatizada.</v>
      </c>
      <c r="C9" s="104" t="inlineStr">
        <is>
          <t>Requisitos!C11 (1/1)</t>
        </is>
      </c>
    </row>
    <row r="10" ht="108" customHeight="1" s="37">
      <c r="A10" s="105" t="str">
        <f>Requisitos!A12</f>
        <v>RF-E-006</v>
      </c>
      <c r="B10" s="105" t="str">
        <f>MID(Requisitos!C12,1,589)</f>
        <v>- Incluir estratégias de remediação recomendadas para cada descoberta, orientando as equipes técnicas sobre as ações corretivas prioritárias.
- Permitir a emulação controlada de vetores de ataque identificados nos ativos-alvo, para validação técnica das fraquezas encontradas e da efetividade dos controles, dentro do escopo e das regras de engajamento autorizados.
- Disponibilizar, quando aplicável, os elementos técnicos necessários à reprodução controlada da prova de conceito do vetor identificado, preservados o escopo autorizado, a segurança e os registros de requisição e resposta.</v>
      </c>
      <c r="C10" s="105" t="inlineStr">
        <is>
          <t>Requisitos!C12 (1/1)</t>
        </is>
      </c>
    </row>
    <row r="11" ht="40" customHeight="1" s="37">
      <c r="A11" s="104" t="str">
        <f>Requisitos!A13</f>
        <v>RF-E-007</v>
      </c>
      <c r="B11" s="104" t="str">
        <f>MID(Requisitos!C13,1,127)</f>
        <v>- Possuir sistema de notificação que alerte os usuários quando novas vulnerabilidades forem encontradas nos ativos monitorados.</v>
      </c>
      <c r="C11" s="104" t="inlineStr">
        <is>
          <t>Requisitos!C13 (1/1)</t>
        </is>
      </c>
    </row>
    <row r="12" ht="48" customHeight="1" s="37">
      <c r="A12" s="105" t="str">
        <f>Requisitos!A14</f>
        <v>RF-E-008</v>
      </c>
      <c r="B12" s="105" t="str">
        <f>MID(Requisitos!C14,1,162)</f>
        <v>- Garantir compatibilidade com os ambientes tecnológicos do InPACTA/Cliente, com documentação técnica detalhada de requisitos de implantação para cada modalidade.</v>
      </c>
      <c r="C12" s="105" t="inlineStr">
        <is>
          <t>Requisitos!C14 (1/1)</t>
        </is>
      </c>
    </row>
    <row r="13" ht="63" customHeight="1" s="37">
      <c r="A13" s="104" t="str">
        <f>Requisitos!A15</f>
        <v>RF-E-009</v>
      </c>
      <c r="B13" s="124" t="str">
        <f>MID(Requisitos!C15,1,375)</f>
        <v>- Demonstrar capacidade para suportar, no mínimo, 1.500 ativos externos por implementação na descoberta automatizada, no inventário dinâmico, no monitoramento contínuo e na avaliação de exposição, segundo a unidade de contabilização do Anexo I. Trata-se de capacidade de referência a comprovar, não de consumo mínimo, inventário validado ou carga integral obrigatória na PoC.</v>
      </c>
      <c r="C13" s="104" t="inlineStr">
        <is>
          <t>Requisitos!C15 (1/1)</t>
        </is>
      </c>
    </row>
    <row r="14" ht="168" customHeight="1" s="37">
      <c r="A14" s="105" t="str">
        <f>Requisitos!A16</f>
        <v>RF-E-010</v>
      </c>
      <c r="B14" s="105" t="str">
        <f>MID(Requisitos!C16,1,1014)</f>
        <v>- Fornecer descoberta automática de ativos, detectando ativos digitais relacionados à rede dos fornecedores e parceiros, utilizando métodos como SSL, registros WHOIS e combinação de ferramentas externas e internas.
- Coletar riscos cibernéticos de fontes de cibercrime, Gerenciamento de Superfície de Ataque e Inteligência Técnica, consolidando-os em painel unificado de gestão.
- Permitir avaliar respostas e evidências dos terceiros em relação a requisitos regulatórios, normas, padrões de segurança e critérios de conformidade definidos pela INPACTA/CLIENTE, incluindo NIS2, DORA, HIPAA ou outros referenciais apenas quando aplicáveis.
- Monitorar credenciais vazadas e contas comprometidas relacionadas a fornecedores e parceiros da cadeia de suprimentos.
- Monitorar portas abertas e problemas de segurança de e-mail nos ativos mapeados dos terceiros avaliados.
- Acompanhar vítimas de ataques de ransomware em blogs, portais de negociação e sites de vazamento de dados, identificando fornecedores impactados.</v>
      </c>
      <c r="C14" s="105" t="inlineStr">
        <is>
          <t>Requisitos!C16 (1/1)</t>
        </is>
      </c>
    </row>
    <row r="15" ht="63" customHeight="1" s="37">
      <c r="A15" s="104" t="str">
        <f>Requisitos!A17</f>
        <v>RF-E-011</v>
      </c>
      <c r="B15" s="104" t="str">
        <f>MID(Requisitos!C17,1,250)</f>
        <v>- Gerar evidências de conformidade e trilhas de auditoria para fins de fiscalização, certificação e prestação de contas a órgãos reguladores.
- Integrar os resultados dos questionários ao Cyber Score e ao painel de risco do portfólio de fornecedores.</v>
      </c>
      <c r="C15" s="104" t="inlineStr">
        <is>
          <t>Requisitos!C17 (1/1)</t>
        </is>
      </c>
    </row>
    <row r="16" ht="78" customHeight="1" s="37">
      <c r="A16" s="105" t="str">
        <f>Requisitos!A18</f>
        <v>RF-E-012</v>
      </c>
      <c r="B16" s="105" t="str">
        <f>MID(Requisitos!C18,1,446)</f>
        <v>- Monitorar credenciais vazadas e contas comprometidas associadas aos domínios e ativos dos fornecedores cadastrados.
- Emitir alertas quando forem identificadas credenciais, contas comprometidas, acessos corporativos anunciados para venda ou outros indícios relevantes de exposição relacionados aos terceiros monitorados.
- Fornecer contexto completo sobre os vazamentos identificados, incluindo origem, data, volume e tipo de dado comprometido.</v>
      </c>
      <c r="C16" s="105" t="inlineStr">
        <is>
          <t>Requisitos!C18 (1/1)</t>
        </is>
      </c>
    </row>
    <row r="17" ht="93" customHeight="1" s="37">
      <c r="A17" s="104" t="str">
        <f>Requisitos!A19</f>
        <v>RF-E-013</v>
      </c>
      <c r="B17" s="104" t="str">
        <f>MID(Requisitos!C19,1,393)</f>
        <v>- Monitorar portas abertas, serviços expostos e problemas de configuração de segurança nos ativos externos dos fornecedores.
- Identificar problemas de segurança de e-mail, incluindo configurações incorretas de SPF, DKIM e DMARC nos domínios dos terceiros.
- Detectar ativos não gerenciados ou desconhecidos expostos na internet que possam representar vetor de ataque à cadeia de fornecimento.</v>
      </c>
      <c r="C17" s="104" t="inlineStr">
        <is>
          <t>Requisitos!C19 (1/1)</t>
        </is>
      </c>
    </row>
    <row r="18" ht="63" customHeight="1" s="37">
      <c r="A18" s="105" t="str">
        <f>Requisitos!A20</f>
        <v>RF-E-014</v>
      </c>
      <c r="B18" s="105" t="str">
        <f>MID(Requisitos!C20,1,276)</f>
        <v>- Monitorar ativamente blogs de grupos de ransomware, portais de negociação e sites de vazamento de dados para identificar fornecedores e parceiros vitimados.
- Emitir alertas imediatos quando fornecedores cadastrados forem identificados como vítimas de ataques de ransomware.</v>
      </c>
      <c r="C18" s="105" t="inlineStr">
        <is>
          <t>Requisitos!C20 (1/1)</t>
        </is>
      </c>
    </row>
    <row r="19" ht="48" customHeight="1" s="37">
      <c r="A19" s="104" t="str">
        <f>Requisitos!A21</f>
        <v>RF-E-015</v>
      </c>
      <c r="B19" s="124" t="str">
        <f>MID(Requisitos!C21,1,236)</f>
        <v>- Suportar, no mínimo, 5 usuários nomeados, incluindo ao menos 1 administrador, e o cadastramento, a classificação, o monitoramento e a avaliação de 300 terceiros. Os números definem capacidade de suporte, não consumo mínimo do CLIENTE.</v>
      </c>
      <c r="C19" s="104" t="inlineStr">
        <is>
          <t>Requisitos!C21 (1/1)</t>
        </is>
      </c>
    </row>
    <row r="20" ht="213" customHeight="1" s="37">
      <c r="A20" s="105" t="str">
        <f>Requisitos!A22</f>
        <v>RF-E-016A</v>
      </c>
      <c r="B20" s="105" t="str">
        <f>MID(Requisitos!C22,1,1124)</f>
        <v>- Produzir inteligência acionável a partir de fontes legalmente acessíveis, com automação auditável, equipe especializada e contexto suficiente para prevenção, investigação e resposta.
- Tratar múltiplos idiomas com tradução e análise contextual verificáveis.
- Manter base de ameaças e credenciais expostas com cobertura, atualização, qualidade, origem, temporalidade e rastreabilidade demonstráveis.
- Permitir solicitações de inteligência, pesquisas dirigidas e inclusão controlada de novas fontes, com escopo, prazo, autorização e entrega previamente definidos.
- Apoiar comunicações ou ações de mitigação envolvendo agentes externos somente com autorização, legalidade, segurança e registro.
- Detectar e contextualizar credenciais expostas, vazamentos, campanhas, intenções de ataque, infraestrutura comprometida e outras ameaças relevantes ao escopo autorizado.
- Coletar metadados e evidências verificáveis, incluindo autor, identificadores, data, capturas e vínculo com a fonte quando disponíveis.
- Admitir integração por APIs, webhooks, playbooks e mecanismos equivalentes, sem vinculação a fabricante específico.</v>
      </c>
      <c r="C20" s="105" t="inlineStr">
        <is>
          <t>Requisitos!C22 (1/1)</t>
        </is>
      </c>
    </row>
    <row r="21" ht="198" customHeight="1" s="37">
      <c r="A21" s="104" t="str">
        <f>Requisitos!A23</f>
        <v>RF-E-016B</v>
      </c>
      <c r="B21" s="104" t="str">
        <f>MID(Requisitos!C23,1,1066)</f>
        <v>- Operar com coleta automatizada e predominantemente passiva nas fontes legalmente acessíveis e previstas no escopo, com proteção da identidade do usuário e rastreabilidade.
- Traduzir e contextualizar dados brutos em múltiplos idiomas na interface.
- Integrar-se a soluções de orquestração e segurança por APIs, webhooks, conectores ou mecanismos equivalentes.
- Demonstrar cobertura atualizada de vítimas e campanhas de ransomware, canais de mensageria relevantes, dispositivos comprometidos, mercados ilícitos de acesso remoto, credenciais expostas, grupos cibercriminosos e fontes de compartilhamento de texto.
- Realizar coleta contínua em fontes de web aberta, deep web e dark web legalmente acessíveis, com critérios de qualidade, relevância e atualização.
- Manter histórico operacional suficiente para investigação e correlação, sem mínimo temporal ou volumétrico proprietário não justificado.
- Aplicar controle de qualidade antes de integrar novas fontes e disponibilizar ambiente sandbox isolado para análise segura de arquivos potencialmente maliciosos.</v>
      </c>
      <c r="C21" s="104" t="inlineStr">
        <is>
          <t>Requisitos!C23 (1/1)</t>
        </is>
      </c>
    </row>
    <row r="22" ht="138" customHeight="1" s="37">
      <c r="A22" s="105" t="str">
        <f>Requisitos!A24</f>
        <v>RF-E-017</v>
      </c>
      <c r="B22" s="105" t="str">
        <f>MID(Requisitos!C24,1,679)</f>
        <v>- Monitorar e reportar iniciativas ativistas, intenções de ataque a órgãos e indústrias e ameaças a pessoas expostas politicamente (PEPs) e VIPs.
- Monitorar fóruns darknet, marketplaces e sites de compartilhamento para identificar vendas de acesso de rede relacionados aos domínios do InPACTA/Cliente.
- Reportar vulnerabilidades nos ativos e monitorar passivamente a infraestrutura em busca de ameaças e vetores de ataque.
- Realizar varredura passiva de vulnerabilidades: tecnologias desatualizadas, servidores mal configurados, portas abertas e outras vulnerabilidades externas.
- Identificar e sinalizar páginas sensíveis expostas dentro da infraestrutura de forma proativa.</v>
      </c>
      <c r="C22" s="105" t="inlineStr">
        <is>
          <t>Requisitos!C24 (1/1)</t>
        </is>
      </c>
    </row>
    <row r="23" ht="213" customHeight="1" s="37">
      <c r="A23" s="104" t="str">
        <f>Requisitos!A25</f>
        <v>RF-E-018</v>
      </c>
      <c r="B23" s="104" t="str">
        <f>MID(Requisitos!C25,1,1107)</f>
        <v>- Monitorar portas abertas de domínios, fornecendo topologia completa da rede do ponto de vista do adversário.
- Detectar intenção maliciosa de atacantes buscando explorar vulnerabilidades divulgadas.
- Detectar hosts sensíveis expostos na web, incluindo servidores que divulgam informações sensíveis.
- Detectar e apresentar visualmente todos os ativos de rede do InPACTA/Cliente.
- Emitir alertas sobre intenções de atingir VIPs com base em lista fornecida e credenciais vazadas.
- Emitir alertas sobre credenciais e exposições relacionadas a contas institucionais prioritárias indicadas pela INPACTA/CLIENTE, com contexto, evidência e data de identificação.
- Detectar vazamento de bancos de dados sensíveis em fontes de cibercrime.
- Monitorar ativamente contas comprometidas de servidores e funcionários.
- Identificar automaticamente vendas de acesso de rede relacionadas ao InPACTA/Cliente
- Exportar dados para CSV diretamente pela interface gráfica.
- Fornecer atualizações por e-mail personalizadas por perfil e preferências do usuário.
- Emitir alertas sobre ameaças identificadas em tempo real.
</v>
      </c>
      <c r="C23" s="104" t="inlineStr">
        <is>
          <t>Requisitos!C25 (1/2)</t>
        </is>
      </c>
    </row>
    <row r="24" ht="93" customHeight="1" s="37">
      <c r="A24" s="104" t="str">
        <f>Requisitos!A25</f>
        <v>RF-E-018</v>
      </c>
      <c r="B24" s="104" t="str">
        <f>MID(Requisitos!C25,1108,486)</f>
        <v>- Suportar arquitetura multi-tenant para monitorar múltiplas entidades de uma mesma organização.
- Analisar conversas no underground e documentos vazados para identificar distribuição de dados de cartões roubados.
- Suportar consultas por número BIN de 6 dígitos para busca precisa de cartões ou emissores específicos.
- Validar automaticamente números de cartões detectados usando o algoritmo de Luhn.
- Implementar monitoramento contínuo de palavras-chave especificadas em tempo real.</v>
      </c>
      <c r="C24" s="104" t="inlineStr">
        <is>
          <t>Requisitos!C25 (2/2)</t>
        </is>
      </c>
    </row>
    <row r="25" ht="183" customHeight="1" s="37">
      <c r="A25" s="105" t="str">
        <f>Requisitos!A26</f>
        <v>RF-E-019</v>
      </c>
      <c r="B25" s="105" t="str">
        <f>MID(Requisitos!C26,1,1054)</f>
        <v>- Acessar todo o data lake (credenciais vazadas, discussões de hacking etc.) com uma única consulta.
- Suportar operadores booleanos (AND, OR, NOT) e fuzzy (proximidade, curingas) para pesquisas avançadas.
- Permitir consultas simultâneas em múltiplos tipos de dados, acessando todo o data lake com uma única busca.
- Possuir campos avançados de metadados para identificar toda a atividade de um ator com uma única consulta.
- Realizar mineração de texto para busca de menções em diferentes documentos.
- Permitir download de configurações de bot ou arquivos relacionados em formato ZIP.
- Traduzir automaticamente dados brutos em múltiplos idiomas diretamente na plataforma.
- Disponibilizar consultas pré-definidas sobre temas relevantes: vítimas recentes de ransomware, initial access brokers, grupos hacktivistas.
- Fornecer acesso a dados históricos arquivados, mesmo que não estejam mais disponíveis online nas fontes originais.
- Apoiar threat hunting e investigações cibernéticas com insights sobre TTPs, perfis de atores e discussões de hacking.</v>
      </c>
      <c r="C25" s="105" t="inlineStr">
        <is>
          <t>Requisitos!C26 (1/1)</t>
        </is>
      </c>
    </row>
    <row r="26" ht="108" customHeight="1" s="37">
      <c r="A26" s="104" t="str">
        <f>Requisitos!A27</f>
        <v>RF-E-020</v>
      </c>
      <c r="B26" s="104" t="str">
        <f>MID(Requisitos!C27,1,658)</f>
        <v>- Fornecer relatórios sobre campanhas de ransomware com inteligência em tempo real, divisão por severidade e monitoramento ativo de sites de ransomware e vazamento.
- Disponibilizar destaques diários das atividades mais significativas do underground, incorporando IOCs coletados.
- Oferecer dashboards de tendências, destaques diários e feed de inteligência finalizada para decisões estratégicas e executivas.
- Gerar relatórios de inteligência por setor/indústria cobrindo malware, vulnerabilidades e tendências de cibercrime.
- Fornecer inteligência estratégica para gestores: ransomware, acessos à venda, bancos de dados vazados e novas ameaças por setor.</v>
      </c>
      <c r="C26" s="104" t="inlineStr">
        <is>
          <t>Requisitos!C27 (1/1)</t>
        </is>
      </c>
    </row>
    <row r="27" ht="168" customHeight="1" s="37">
      <c r="A27" s="105" t="str">
        <f>Requisitos!A28</f>
        <v>RF-E-021</v>
      </c>
      <c r="B27" s="105" t="str">
        <f>MID(Requisitos!C28,1,883)</f>
        <v>- Detectar automaticamente RDPs potencialmente comprometidos em fontes de cibercrime.
- Rastrear publicações de atores no underground para identificar proxies de cibercrime.
- Detectar automaticamente IPs de vítimas de phishing comprometidos em fontes de cibercrime.
- Identificar automaticamente websites comprometidos envolvidos em atividades de cibercrime.
- Detectar automaticamente endpoints infectados por malware.
- Exportar múltiplos tipos de dados para CSV diretamente pela interface gráfica.
- Disponibilizar repositório de IOCs selecionados de canais underground, distinto de campanhas maliciosas convencionais.
- Realizar coleta automatizada de IPs e domínios comprometidos de múltiplas fontes underground, disponível via API como feed legível por máquina.
- Suportar STIX/TAXII para compartilhamento e ingestão automatizados de inteligência com TIPs e SIEMs compatíveis.</v>
      </c>
      <c r="C27" s="105" t="inlineStr">
        <is>
          <t>Requisitos!C28 (1/1)</t>
        </is>
      </c>
    </row>
    <row r="28" ht="108" customHeight="1" s="37">
      <c r="A28" s="104" t="str">
        <f>Requisitos!A29</f>
        <v>RF-E-022</v>
      </c>
      <c r="B28" s="104" t="str">
        <f>MID(Requisitos!C29,1,524)</f>
        <v>- Disponibilizar dashboard centralizado com inteligência abrangente sobre atores de ameaça.
- Fornecer resumo completo de cada ator, elaborado por analistas especializados ou gerado por inteligência artificial.
- Analisar padrões de atividades, afiliações e alvos para revelar as motivações dos atores.
- Cruzar informações de múltiplas fontes para identificar e relacionar diferentes perfis do mesmo ator, mesmo com aliases ou plataformas distintas.
- Analisar dados históricos para detectar apelidos anteriores de um ator.</v>
      </c>
      <c r="C28" s="104" t="inlineStr">
        <is>
          <t>Requisitos!C29 (1/1)</t>
        </is>
      </c>
    </row>
    <row r="29" ht="153" customHeight="1" s="37">
      <c r="A29" s="105" t="str">
        <f>Requisitos!A30</f>
        <v>RF-E-023</v>
      </c>
      <c r="B29" s="105" t="str">
        <f>MID(Requisitos!C30,1,816)</f>
        <v>- Incluir visão histórica do perfil do ator com assinaturas passadas e atuais.
- Filtrar por setor, região geográfica, motivação, origem do ator e outros critérios.
- Produzir perfilamento e hipóteses de atribuição sobre atores ou grupos de ameaça com base em evidências, grau de confiança e limitações conhecidas, sem exigir a identificação de pessoas naturais.
- Mesclar atores que operam sob diferentes aliases em várias fontes para uma visão unificada.
- Incorporar TTPs do framework MITRE ATT&amp;CK para atribuição de atores com estrutura padronizada.
- Possuir catálogo com no mínimo 6 milhões de atores para análise e investigação.
- Incluir inteligência sobre atores patrocinados por Estados (nation-state actors).
- Consolidar identidades online do ator em visão unificada, cruzando múltiplas camadas de dados.</v>
      </c>
      <c r="C29" s="105" t="inlineStr">
        <is>
          <t>Requisitos!C30 (1/1)</t>
        </is>
      </c>
    </row>
    <row r="30" ht="183" customHeight="1" s="37">
      <c r="A30" s="104" t="str">
        <f>Requisitos!A31</f>
        <v>RF-E-024</v>
      </c>
      <c r="B30" s="104" t="str">
        <f>MID(Requisitos!C31,1,1084)</f>
        <v>- Analisar logs de infostealers para detectar credenciais comprometidas e outros dados sensíveis.
- Usar machine learning para avaliar automaticamente a severidade de incidentes com base em indicadores e histórico.
- Categorizar automaticamente incidentes em categorias predefinidas usando análise contextual.
- Classificar ameaças automaticamente com feeds de inteligência e análise avançada.
- Permitir download de arquivos de bot em formato ZIP diretamente do módulo.
- Integrar com múltiplas soluções via playbooks, APIs e webhooks sem necessidade de programação adicional.
- Oferecer gerenciamento robusto de workspaces multi-tenant com segregação de dados e controle de acesso.
- Classificar ameaças por tipo de dado comprometido e contexto: ransomware, vazamento de credenciais, acesso a infraestrutura.
- Remover automaticamente duplicidades de incidentes por username, password e URL, evitando fadiga de analistas.
- Rastrear logs completos de infostealer e listas compiladas de credenciais.
- Monitorar FQDNs, plataformas SaaS, endereços de e-mail e IPs do InPACTA/Cliente.
</v>
      </c>
      <c r="C30" s="104" t="inlineStr">
        <is>
          <t>Requisitos!C31 (1/2)</t>
        </is>
      </c>
    </row>
    <row r="31" ht="168" customHeight="1" s="37">
      <c r="A31" s="104" t="str">
        <f>Requisitos!A31</f>
        <v>RF-E-024</v>
      </c>
      <c r="B31" s="104" t="str">
        <f>MID(Requisitos!C31,1085,940)</f>
        <v>- Detectar todos os detalhes do bot: credenciais, IP, serviços associados, nome do infostealer, hostname e username da máquina.
- Buscar em campos de incidentes: Service, Username, Password, Bot IP, Bot ID e Incident ID.
- Disponibilizar linha do tempo das infecções de bots com detalhes de origem e metadados contextuais.
- Diferenciar credenciais de servidores/funcionários e usuários externos.
- Emitir alertas de roubo de identidade com todos os pontos de dados necessários para resposta rápida.
- Disponibilizar política de senha personalizável por parâmetros configurados pelo InPACTA/Cliente.
- Permitir regras configuráveis de supressão e deduplicação de incidentes irrelevantes ou repetidos, com trilha de auditoria e possibilidade de revisão humana.
- Emitir alertas em tempo real via webhook para respostas preventivas.
- Exibir Hostname e Username da máquina infectada para identificação rápida do dispositivo e usuário afetado.</v>
      </c>
      <c r="C31" s="104" t="inlineStr">
        <is>
          <t>Requisitos!C31 (2/2)</t>
        </is>
      </c>
    </row>
    <row r="32" ht="123" customHeight="1" s="37">
      <c r="A32" s="105" t="str">
        <f>Requisitos!A32</f>
        <v>RF-E-025</v>
      </c>
      <c r="B32" s="105" t="str">
        <f>MID(Requisitos!C32,1,616)</f>
        <v>- Identificar domínios recém-registrados semelhantes à marca do InPACTA/Cliente para prevenir falsificação e ataques de phishing.
- Auxiliar na remoção de websites fraudulentos e contas de redes sociais que prejudicam a marca.
- Fornecer dados completos de WHOIS de domínios suspeitos para investigações e possíveis ações legais.
- Monitorar redes sociais em busca de uso não autorizado ou malicioso do nome da marca.
- Identificar e sinalizar sites que imitam a marca para roubar dados de usuários.
Item-base
- Detectar domínios similares, contas falsas, abuso em redes sociais e suportar procedimentos de takedown.</v>
      </c>
      <c r="C32" s="105" t="inlineStr">
        <is>
          <t>Requisitos!C32 (1/1)</t>
        </is>
      </c>
    </row>
    <row r="33" ht="93" customHeight="1" s="37">
      <c r="A33" s="104" t="str">
        <f>Requisitos!A33</f>
        <v>RF-E-026</v>
      </c>
      <c r="B33" s="104" t="str">
        <f>MID(Requisitos!C33,1,455)</f>
        <v>- Suportar STIX/TAXII para compartilhamento e ingestão automatizados de inteligência com TIPs e SIEMs.
- Coletar e validar IoCs continuamente em tempo real de múltiplas fontes.
- Adicionar centenas a milhares de novos IoCs diariamente de múltiplas fontes.
- Atribuir automaticamente IoCs a atores conhecidos, famílias de malware e campanhas.
- Disponibilizar integrações via API com SIEM, SOAR e TIP para otimizar fluxos e automatizar ingestão de alertas.</v>
      </c>
      <c r="C33" s="104" t="inlineStr">
        <is>
          <t>Requisitos!C33 (1/1)</t>
        </is>
      </c>
    </row>
    <row r="34" ht="198" customHeight="1" s="37">
      <c r="A34" s="105" t="str">
        <f>Requisitos!A34</f>
        <v>RF-E-027</v>
      </c>
      <c r="B34" s="105" t="str">
        <f>MID(Requisitos!C34,1,1162)</f>
        <v>- Fornecer descoberta e mapeamento automatizados da infraestrutura de agentes de ameaça.
- Identificar e classificar a função de entidades maliciosas (por exemplo: C2, proxy, servidor de salto).
- Fornecer mapeamento visual de ameaças e visualização de relacionamentos.
- Suportar a integração de fontes de dados externas, como logs NetFlow e IOCs fornecidos pelo InPACTA/Cliente.
- Possuir recursos para identificar potenciais vítimas de campanhas de ameaças.
- Oferecer gerenciamento centralizado de casos para administrar investigações de ameaças.
- Fornecer informações detalhadas sobre os ativos, incluindo dados de portas, detalhes de DNS e pontuações de reputação.
- Permitir a descoberta do encadeamento de infraestrutura e das hierarquias de controle de servidores.
- Fornecer fluxos de trabalho personalizáveis para filtrar e exportar informações com base em tags e classificações.
- Suportar a análise de indicadores baseados em IP e metadados de rede associados.
- Suportar a análise de FQDNs (Nomes de Domínio Totalmente Qualificados) e registros DNS.
- Suportar a análise de páginas web e artefatos web associados (por exemplo, sites de phishing).
</v>
      </c>
      <c r="C34" s="105" t="inlineStr">
        <is>
          <t>Requisitos!C34 (1/2)</t>
        </is>
      </c>
    </row>
    <row r="35" ht="40" customHeight="1" s="37">
      <c r="A35" s="105" t="str">
        <f>Requisitos!A34</f>
        <v>RF-E-027</v>
      </c>
      <c r="B35" s="105" t="str">
        <f>MID(Requisitos!C34,1163,86)</f>
        <v>- Suportar a análise de certificados SSL/TLS para mapear a infraestrutura relacionada.</v>
      </c>
      <c r="C35" s="105" t="inlineStr">
        <is>
          <t>Requisitos!C34 (2/2)</t>
        </is>
      </c>
    </row>
    <row r="36" ht="63" customHeight="1" s="37">
      <c r="A36" s="104" t="str">
        <f>Requisitos!A35</f>
        <v>RF-C-028</v>
      </c>
      <c r="B36" s="104" t="str">
        <f>MID(Requisitos!C35,1,302)</f>
        <v>- Ofertar reconhecimento de mercado em plataforma independente de avaliações de usuários corporativos verificados, voltada à análise de tecnologias empresariais, tais como plataforma independente de avaliações verificadas ou estudo reconhecido de mercado, admitida fonte equivalente tecnicamente idônea</v>
      </c>
      <c r="C36" s="104" t="inlineStr">
        <is>
          <t>Requisitos!C35 (1/1)</t>
        </is>
      </c>
    </row>
    <row r="37" ht="48" customHeight="1" s="37">
      <c r="A37" s="105" t="str">
        <f>Requisitos!A36</f>
        <v>RF-E-029</v>
      </c>
      <c r="B37" s="125" t="str">
        <f>MID(Requisitos!C36,1,288)</f>
        <v>- Suportar, no mínimo, 5 usuários nomeados, incluindo ao menos 1 administrador; o monitoramento de 20 domínios institucionais e de 100 endereços de correio eletrônico prioritários; e 100 consultas avançadas por mês. Os números definem capacidade de suporte, não consumo mínimo do CLIENTE.</v>
      </c>
      <c r="C37" s="105" t="inlineStr">
        <is>
          <t>Requisitos!C36 (1/1)</t>
        </is>
      </c>
    </row>
    <row r="38" ht="63" customHeight="1" s="37">
      <c r="A38" s="104" t="str">
        <f>Requisitos!A37</f>
        <v>RF-E-030</v>
      </c>
      <c r="B38" s="124" t="str">
        <f>MID(Requisitos!C37,1,317)</f>
        <v>- Suportar, no mínimo, o monitoramento contínuo de 500 objetos de interesse e de 10 identificadores de marca; 30 solicitações de remoção, bloqueio, denúncia ou notificação durante a vigência; e 4 mapeamentos de infraestrutura maliciosa por mês. Os números definem capacidade de suporte, não consumo mínimo do CLIENTE.</v>
      </c>
      <c r="C38" s="104" t="inlineStr">
        <is>
          <t>Requisitos!C37 (1/1)</t>
        </is>
      </c>
    </row>
    <row r="39" ht="93" customHeight="1" s="37">
      <c r="A39" s="105" t="str">
        <f>Requisitos!A38</f>
        <v>RF-E-031</v>
      </c>
      <c r="B39" s="105" t="str">
        <f>MID(Requisitos!C38,1,410)</f>
        <v>- Triagem, identificação e validação de credenciais vazadas, campanhas de phishing e abuso de marca.
- Identificação de indicadores de comprometimento, assinaturas de software malicioso e atores de ameaças ativos.
- Resposta a solicitações personalizadas de informação.
- Caça eficaz a ameaças para alertar equipes sobre ameaças emergentes, direcionadas ao setor, infraestrutura e geografia do InPACTA/Cliente.</v>
      </c>
      <c r="C39" s="105" t="inlineStr">
        <is>
          <t>Requisitos!C38 (1/1)</t>
        </is>
      </c>
    </row>
    <row r="40" ht="108" customHeight="1" s="37">
      <c r="A40" s="104" t="str">
        <f>Requisitos!A39</f>
        <v>RF-E-032</v>
      </c>
      <c r="B40" s="104" t="str">
        <f>MID(Requisitos!C39,1,558)</f>
        <v>- Agente para ambientes provedores de serviços gerenciados de segurança (MSSP): responsável por monitorar, triar e responder a ameaças específicas de uma organização, integrado aos módulos de inteligência, provedores de identidade, ferramentas de segurança e plataformas de dados corporativos.
- Disponibilizar agente especializado para órgãos públicos, com acesso integrado à base de inteligência dentro do escopo contratado, dos perfis de acesso e das licenças aplicáveis, apoiando investigações, solicitações de informação e análise de atores e campanhas.</v>
      </c>
      <c r="C40" s="104" t="inlineStr">
        <is>
          <t>Requisitos!C39 (1/1)</t>
        </is>
      </c>
    </row>
    <row r="41" ht="63" customHeight="1" s="37">
      <c r="A41" s="105" t="str">
        <f>Requisitos!A40</f>
        <v>RF-E-033</v>
      </c>
      <c r="B41" s="105" t="str">
        <f>MID(Requisitos!C40,1,315)</f>
        <v>- Integração com plataformas de mensageria corporativa, correio eletrônico e portal dedicado.
- Permitir a comunicação de alertas, investigações, recomendações e ações automatizadas ou semiautomatizadas pelos canais integrados, observadas as políticas, aprovações e a rastreabilidade definidas pela INPACTA/CLIENTE.</v>
      </c>
      <c r="C41" s="105" t="inlineStr">
        <is>
          <t>Requisitos!C40 (1/1)</t>
        </is>
      </c>
    </row>
    <row r="42" ht="63" customHeight="1" s="37">
      <c r="A42" s="104" t="str">
        <f>Requisitos!A41</f>
        <v>RF-E-034</v>
      </c>
      <c r="B42" s="104" t="str">
        <f>MID(Requisitos!C41,1,385)</f>
        <v>- Garantir que os agentes digitais possuam acesso integrado à base de dados de inteligência de ameaças do fornecedor, contemplando, no mínimo, as seguintes fontes: credenciais vazadas; inteligência técnica sobre ameaças; discussões em ambientes associados a atividades maliciosas; campanhas de phishing e abuso de marca; destaques diários de ameaças; perfilamento de atores de ameaças.</v>
      </c>
      <c r="C42" s="104" t="inlineStr">
        <is>
          <t>Requisitos!C41 (1/1)</t>
        </is>
      </c>
    </row>
    <row r="43" ht="78" customHeight="1" s="37">
      <c r="A43" s="105" t="str">
        <f>Requisitos!A42</f>
        <v>RF-E-035</v>
      </c>
      <c r="B43" s="105" t="str">
        <f>MID(Requisitos!C42,1,337)</f>
        <v>- Permitir respostas automatizadas ou semiautomatizadas somente conforme políticas, fluxos de aprovação, perfis de acesso e níveis de autonomia previamente definidos pela INPACTA/CLIENTE.
- Geração de relatórios de solicitações de informação e perfis de atores de ameaças, garantindo transparência, conformidade e eficiência operacional.</v>
      </c>
      <c r="C43" s="105" t="inlineStr">
        <is>
          <t>Requisitos!C42 (1/1)</t>
        </is>
      </c>
    </row>
    <row r="44" ht="93" customHeight="1" s="37">
      <c r="A44" s="104" t="str">
        <f>Requisitos!A43</f>
        <v>RF-E-036</v>
      </c>
      <c r="B44" s="104" t="str">
        <f>MID(Requisitos!C43,1,453)</f>
        <v>- Ampliação da visibilidade sobre eventos e alertas de segurança nos endpoints e na rede.
- Permitir respostas automatizadas a partir da inteligência gerada pelos agentes apenas por playbooks expressamente aprovados ou mediante autorização humana prévia, conforme o potencial de impacto.
- Atuar como camada assistiva de inteligência e orquestração controlada nos domínios de segurança integrados, sem substituir a validação humana em decisões críticas.</v>
      </c>
      <c r="C44" s="104" t="inlineStr">
        <is>
          <t>Requisitos!C43 (1/1)</t>
        </is>
      </c>
    </row>
    <row r="45" ht="78" customHeight="1" s="37">
      <c r="A45" s="105" t="str">
        <f>Requisitos!A44</f>
        <v>RF-E-037</v>
      </c>
      <c r="B45" s="105" t="str">
        <f>MID(Requisitos!C44,1,365)</f>
        <v>- Fornecimento de contexto organizacional e comportamental detalhado sobre contas comprometidas.
- Apoiar a investigação e a resposta a incidentes relacionados a identidades comprometidas, respeitados os fluxos de autorização, os perfis de acesso e as competências da INPACTA/CLIENTE.
- Compatibilidade com provedores de identidade amplamente utilizados no mercado.</v>
      </c>
      <c r="C45" s="105" t="inlineStr">
        <is>
          <t>Requisitos!C44 (1/1)</t>
        </is>
      </c>
    </row>
    <row r="46" ht="78" customHeight="1" s="37">
      <c r="A46" s="104" t="str">
        <f>Requisitos!A45</f>
        <v>RF-E-038</v>
      </c>
      <c r="B46" s="104" t="str">
        <f>MID(Requisitos!C45,1,489)</f>
        <v>- Realizar validação automatizada e controlada de credenciais potencialmente comprometidas; a verificação em serviços publicamente acessíveis somente poderá ocorrer quando tecnicamente aplicável e expressamente autorizada pela INPACTA/CLIENTE.
- Geração de relatório consolidado com o resultado da validação, indicando o status de validade de cada credencial verificada.
- Atualização contínua do perfil de risco associado às identidades comprometidas com base nos resultados da validação.</v>
      </c>
      <c r="C46" s="104" t="inlineStr">
        <is>
          <t>Requisitos!C45 (1/1)</t>
        </is>
      </c>
    </row>
    <row r="47" ht="63" customHeight="1" s="37">
      <c r="A47" s="105" t="str">
        <f>Requisitos!A46</f>
        <v>RF-E-039</v>
      </c>
      <c r="B47" s="105" t="str">
        <f>MID(Requisitos!C46,1,329)</f>
        <v>- Disponibilizar interface web segura, gestão de usuários e perfis, autenticação multifator, pesquisa, filtros, dashboards, alertas, notificações, casos, relatórios, exportações, registros temporais correlacionáveis, APIs ou conectores, monitoramento de saúde e interface, documentação operacional e suporte em língua portuguesa.</v>
      </c>
      <c r="C47" s="105" t="inlineStr">
        <is>
          <t>Requisitos!C46 (1/1)</t>
        </is>
      </c>
    </row>
    <row r="48" ht="48" customHeight="1" s="37">
      <c r="A48" s="104" t="str">
        <f>Requisitos!A47</f>
        <v>RF-E-040</v>
      </c>
      <c r="B48" s="104" t="str">
        <f>MID(Requisitos!C47,1,259)</f>
        <v>- Apresentar matriz de licenciamento suficiente para todos os módulos, usuários, ativos, integrações, APIs, armazenamento, suporte e direitos de uso, sem dependência de componente essencial não identificado e incluindo atualizações necessárias à continuidade.</v>
      </c>
      <c r="C48" s="104" t="inlineStr">
        <is>
          <t>Requisitos!C47 (1/1)</t>
        </is>
      </c>
    </row>
    <row r="49" ht="63" customHeight="1" s="37">
      <c r="A49" s="105" t="str">
        <f>Requisitos!A48</f>
        <v>RF-E-041</v>
      </c>
      <c r="B49" s="105" t="str">
        <f>MID(Requisitos!C48,1,286)</f>
        <v>- Adotar controles de confidencialidade, integridade, disponibilidade, autenticidade, rastreabilidade, acesso, sessão, menor privilégio, criptografia, gestão de vulnerabilidades, comunicação de incidentes, proteção de dados e obrigações equivalentes para subcontratados e suboperadores.</v>
      </c>
      <c r="C49" s="105" t="inlineStr">
        <is>
          <t>Requisitos!C48 (1/1)</t>
        </is>
      </c>
    </row>
    <row r="50" ht="48" customHeight="1" s="37">
      <c r="A50" s="104" t="str">
        <f>Requisitos!A49</f>
        <v>RF-E-042</v>
      </c>
      <c r="B50" s="104" t="str">
        <f>MID(Requisitos!C49,1,251)</f>
        <v>- Operar com arquitetura modular, escalável e interoperável, correlacionar achados e evidências dos módulos, documentar integrações com autenticação segura e controle de versão e aplicar governança de mudanças sem criar bases paralelas não governadas.</v>
      </c>
      <c r="C50" s="104" t="inlineStr">
        <is>
          <t>Requisitos!C49 (1/1)</t>
        </is>
      </c>
    </row>
    <row r="51" ht="108" customHeight="1" s="37">
      <c r="A51" s="105" t="str">
        <f>Requisitos!A50</f>
        <v>RF-P-001</v>
      </c>
      <c r="B51" s="105" t="str">
        <f>MID(Requisitos!C50,1,605)</f>
        <v>1 ponto - Avaliar as configurações de segurança dos sistemas, dispositivos e aplicações em escopo, identificando desvios em relação a boas práticas e padrões reconhecidos de hardening.
1 ponto - Fornecer recomendações práticas de configurações seguras alinhadas à realidade operacional do InPACTA/Cliente, considerando as restrições técnicas, funcionais e de negócio de cada ambiente.
1 ponto - Priorizar as recomendações de hardening com base no risco associado a cada desvio identificado, orientando a equipe técnica do InPACTA/Cliente sobre as ações de maior impacto na redução da superfície de ataque.</v>
      </c>
      <c r="C51" s="105" t="inlineStr">
        <is>
          <t>Requisitos!C50 (1/1)</t>
        </is>
      </c>
    </row>
    <row r="52" ht="108" customHeight="1" s="37">
      <c r="A52" s="104" t="str">
        <f>Requisitos!A51</f>
        <v>RF-P-002</v>
      </c>
      <c r="B52" s="104" t="str">
        <f>MID(Requisitos!C51,1,509)</f>
        <v>1 ponto - Realizar retestes direcionados após a implementação de correções pelo InPACTA/Cliente, verificando se as vulnerabilidades apontadas foram efetivamente remediadas.
1 ponto - Validar a efetividade das medidas adotadas, confirmando que as correções implementadas eliminam o risco identificado sem introduzir novas exposições.
1 ponto - Atualizar o status de risco de cada vulnerabilidade com base nos resultados dos retestes, mantendo histórico atualizado da evolução do perfil de segurança do ambiente</v>
      </c>
      <c r="C52" s="104" t="inlineStr">
        <is>
          <t>Requisitos!C51 (1/1)</t>
        </is>
      </c>
    </row>
    <row r="53" ht="138" customHeight="1" s="37">
      <c r="A53" s="105" t="str">
        <f>Requisitos!A52</f>
        <v>RF-P-003</v>
      </c>
      <c r="B53" s="105" t="str">
        <f>MID(Requisitos!C52,1,732)</f>
        <v>1 ponto - Realizar monitoramento contínuo do ambiente de TI do InPACTA/Cliente, 24 horas por dia, 7 dias por semana, incluindo finais de semana e feriados, sem interrupção.
1 ponto - Realizar triagem e classificação de alertas e incidentes identificados, diferenciando eventos relevantes de ruídos operacionais e priorizando o atendimento conforme o nível de severidade.
1 ponto - Registrar e documentar todos os eventos monitorados, mantendo trilha de auditoria completa para fins de análise forense, prestação de contas e conformidade regulatória.
1 ponto - Emitir alertas e notificações por nível de severidade, comunicando imediatamente o InPACTA/Cliente sobre incidentes críticos e fornecendo orientações iniciais de contenção.</v>
      </c>
      <c r="C53" s="105" t="inlineStr">
        <is>
          <t>Requisitos!C52 (1/1)</t>
        </is>
      </c>
    </row>
    <row r="54" ht="168" customHeight="1" s="37">
      <c r="A54" s="104" t="str">
        <f>Requisitos!A53</f>
        <v>RF-P-004</v>
      </c>
      <c r="B54" s="104" t="str">
        <f>MID(Requisitos!C53,1,779)</f>
        <v>2 pontos - Retornar lista de domínios relacionados a um determinado nome de organização, permitindo o mapeamento completo da presença digital do InPACTA/Cliente.
1 ponto - Classificar todos os ativos descobertos em categorias, organizando a superfície de ataque de forma estruturada para priorização.
1 ponto - Encontrar domínios relacionados por meio da correspondência de favicons, identificando infraestruturas associadas à organização.
2 pontos - Classificar descobertas específicas de acordo com padrões reconhecidos, incluindo divulgação de informações, configurações incorretas e vulnerabilidades conhecidas.
2 pontos - Reprocessar recursivamente os resultados para identificar dependências e integrações de terceiros que ampliem a superfície de ataque do InPACTA/Cliente.</v>
      </c>
      <c r="C54" s="104" t="inlineStr">
        <is>
          <t>Requisitos!C53 (1/1)</t>
        </is>
      </c>
    </row>
    <row r="55" ht="123" customHeight="1" s="37">
      <c r="A55" s="105" t="str">
        <f>Requisitos!A54</f>
        <v>RF-P-005</v>
      </c>
      <c r="B55" s="105" t="str">
        <f>MID(Requisitos!C54,1,572)</f>
        <v>2 pontos - Realizar referência cruzada das descobertas para criar visibilidade completa de ativos, correlacionando informações de múltiplas fontes.
2 pontos - Identificar oportunidades de ataque na superfície externa relacionada aos ativos descobertos ou formalmente autorizados pela INPACTA/CLIENTE, correlacionando domínios, subdomínios, endereços IP, portas, serviços e demais atributos técnicos disponíveis.
2 pontos - Realizar referência cruzada com dados de inteligência de ameaças no processo de descoberta, identificando tendências e fraquezas nos ativos mapeados.</v>
      </c>
      <c r="C55" s="105" t="inlineStr">
        <is>
          <t>Requisitos!C54 (1/1)</t>
        </is>
      </c>
    </row>
    <row r="56" ht="168" customHeight="1" s="37">
      <c r="A56" s="104" t="str">
        <f>Requisitos!A55</f>
        <v>RF-P-006</v>
      </c>
      <c r="B56" s="104" t="str">
        <f>MID(Requisitos!C55,1,777)</f>
        <v>2 pontos - Possuir metodologias abrangentes de validação para todos os diferentes tipos de vetores, cobrindo a diversidade de técnicas utilizadas por atores maliciosos.
2 pontos - Indicar automaticamente quando um vetor é remediado, mantendo registro histórico das correções realizadas e do seu impacto na superfície de ataque.
2 pontos - Executar continuamente nos ativos selecionados, monitorando o status das remediações e identificando regressões ou novas exposições.
2 pontos - Notificar os usuários quando um vetor for acessado ou explorado por um operador, garantindo rastreabilidade e controle das atividades de teste.
1 ponto - Permitir que os usuários registrem notas e observações nos vetores identificados, facilitando a comunicação e o acompanhamento colaborativo.</v>
      </c>
      <c r="C56" s="104" t="inlineStr">
        <is>
          <t>Requisitos!C55 (1/1)</t>
        </is>
      </c>
    </row>
    <row r="57" ht="168" customHeight="1" s="37">
      <c r="A57" s="105" t="str">
        <f>Requisitos!A56</f>
        <v>RF-P-007</v>
      </c>
      <c r="B57" s="105" t="str">
        <f>MID(Requisitos!C56,1,797)</f>
        <v>1 ponto - Permitir a exportação de relatórios em formatos amplamente utilizados, possibilitando o compartilhamento das descobertas com diferentes públicos.
2 pontos - Fornecer painel de visão geral com as descobertas de CTEM e BAS, apresentando dados consolidados e atualizados de forma contínua, com rastreabilidade da última atualização.
1 ponto - Permitir diferentes funções de usuário (Gestor e Membro), com controles de acesso adequados ao perfil de cada colaborador.
1 ponto - Permitir que os usuários dividam diferentes ativos entre diferentes equipes ou usuários, viabilizando a gestão segmentada da superfície de ataque.
1 ponto - Fornecer menu de configuração de usuário que permita personalizar níveis e cronogramas de varredura conforme as necessidades operacionais do InPACTA/Cliente.</v>
      </c>
      <c r="C57" s="105" t="inlineStr">
        <is>
          <t>Requisitos!C56 (1/1)</t>
        </is>
      </c>
    </row>
    <row r="58" ht="48" customHeight="1" s="37">
      <c r="A58" s="104" t="str">
        <f>Requisitos!A57</f>
        <v>RF-P-008</v>
      </c>
      <c r="B58" s="104" t="str">
        <f>MID(Requisitos!C57,1,168)</f>
        <v>2 pontos - Suportar abertura de chamados junto ao service desk, integrando os achados da plataforma aos fluxos de gestão de incidentes e vulnerabilidades já existentes.</v>
      </c>
      <c r="C58" s="104" t="inlineStr">
        <is>
          <t>Requisitos!C57 (1/1)</t>
        </is>
      </c>
    </row>
    <row r="59" ht="63" customHeight="1" s="37">
      <c r="A59" s="105" t="str">
        <f>Requisitos!A58</f>
        <v>RF-P-009</v>
      </c>
      <c r="B59" s="105" t="str">
        <f>MID(Requisitos!C58,1,280)</f>
        <v>2 pontos - Oferecer opção de implantação em ambiente cloud (nuvem pública ou privada) ou on-premise, conforme a política de infraestrutura do InPACTA/Cliente.
1 ponto - Assegurar que a opção on-premise não comprometa as capacidades funcionais da solução em relação à versão cloud.</v>
      </c>
      <c r="C59" s="105" t="inlineStr">
        <is>
          <t>Requisitos!C58 (1/1)</t>
        </is>
      </c>
    </row>
    <row r="60" ht="93" customHeight="1" s="37">
      <c r="A60" s="104" t="str">
        <f>Requisitos!A59</f>
        <v>RF-P-010</v>
      </c>
      <c r="B60" s="104" t="str">
        <f>MID(Requisitos!C59,1,432)</f>
        <v>2 pontos - Calcular Cyber Score prevendo a probabilidade de uma empresa da cadeia de fornecimento sofrer um incidente cibernético, com atualização contínua e histórico de evolução.
1 ponto - Gerar relatórios abrangentes com recomendações para remediação, em formatos executivo e técnico.
1 ponto - Disponibilizar processo de onboarding facilitado, permitindo rápido cadastro de fornecedores e início imediato da avaliação de riscos.</v>
      </c>
      <c r="C60" s="104" t="inlineStr">
        <is>
          <t>Requisitos!C59 (1/1)</t>
        </is>
      </c>
    </row>
    <row r="61" ht="138" customHeight="1" s="37">
      <c r="A61" s="105" t="str">
        <f>Requisitos!A60</f>
        <v>RF-P-011</v>
      </c>
      <c r="B61" s="105" t="str">
        <f>MID(Requisitos!C60,1,676)</f>
        <v>3 pontos - Fornecer capacidade de envio de questionários de segurança e conformidade para fornecedores, com gestão centralizada de respostas e acompanhamento de status.
1 ponto - Permitir configurar e aplicar referenciais regulatórios, normativos e setoriais, incluindo NIS2, DORA, HIPAA ou outros, somente quando compatíveis com o perfil e a atividade do terceiro avaliado.
2 pontos - Permitir personalização dos questionários conforme a criticidade e o perfil de risco de cada fornecedor ou categoria de serviço.
2 pontos - Consolidar as respostas dos questionários em painéis de conformidade, facilitando o acompanhamento do nível de aderência regulatória de cada terceiro.</v>
      </c>
      <c r="C61" s="105" t="inlineStr">
        <is>
          <t>Requisitos!C60 (1/1)</t>
        </is>
      </c>
    </row>
    <row r="62" ht="40" customHeight="1" s="37">
      <c r="A62" s="104" t="str">
        <f>Requisitos!A61</f>
        <v>RF-P-012</v>
      </c>
      <c r="B62" s="104" t="str">
        <f>MID(Requisitos!C61,1,127)</f>
        <v>3 pontos - Permitir priorização das ações de remediação com base na criticidade do fornecedor e na natureza dos dados expostos.</v>
      </c>
      <c r="C62" s="104" t="inlineStr">
        <is>
          <t>Requisitos!C61 (1/1)</t>
        </is>
      </c>
    </row>
    <row r="63" ht="48" customHeight="1" s="37">
      <c r="A63" s="105" t="str">
        <f>Requisitos!A62</f>
        <v>RF-P-013</v>
      </c>
      <c r="B63" s="105" t="str">
        <f>MID(Requisitos!C62,1,237)</f>
        <v>3 pontos - Fornecer visão topológica da superfície de ataque de cada fornecedor, do ponto de vista do adversário.
2 pontos - Emitir alertas proativos sobre novas exposições identificadas, com recomendações de remediação e prazo sugerido.</v>
      </c>
      <c r="C63" s="105" t="inlineStr">
        <is>
          <t>Requisitos!C62 (1/1)</t>
        </is>
      </c>
    </row>
    <row r="64" ht="63" customHeight="1" s="37">
      <c r="A64" s="104" t="str">
        <f>Requisitos!A63</f>
        <v>RF-P-014</v>
      </c>
      <c r="B64" s="104" t="str">
        <f>MID(Requisitos!C63,1,270)</f>
        <v>1 ponto - Fornecer contexto sobre o grupo responsável pelo ataque, dados potencialmente expostos e impacto estimado para a cadeia de fornecimento.
2 pontos - Permitir avaliação rápida do risco de contaminação e interrupção dos serviços prestados pelo fornecedor afetado.</v>
      </c>
      <c r="C64" s="104" t="inlineStr">
        <is>
          <t>Requisitos!C63 (1/1)</t>
        </is>
      </c>
    </row>
    <row r="65" ht="78" customHeight="1" s="37">
      <c r="A65" s="105" t="str">
        <f>Requisitos!A64</f>
        <v>RF-P-015</v>
      </c>
      <c r="B65" s="105" t="str">
        <f>MID(Requisitos!C64,1,396)</f>
        <v>1 ponto - Suportar filtragem fácil dos resultados por propriedades específicas.
1 ponto - Disponibilizar recurso de consultas salvas com alertas por e-mail para atualizações sobre novas descobertas.
1 ponto - Permitir download de bancos de dados e arquivos diretamente da plataforma.
1 ponto - Fornecer acesso a base de conhecimento do Centro de Inteligência Cibernética com relatórios completos.</v>
      </c>
      <c r="C65" s="105" t="inlineStr">
        <is>
          <t>Requisitos!C64 (1/1)</t>
        </is>
      </c>
    </row>
    <row r="66" ht="63" customHeight="1" s="37">
      <c r="A66" s="104" t="str">
        <f>Requisitos!A65</f>
        <v>RF-P-016</v>
      </c>
      <c r="B66" s="104" t="str">
        <f>MID(Requisitos!C65,1,256)</f>
        <v>2 pontos - Enriquecer dados com inteligência de fontes de cibercrime, criando eventos a partir de incidentes curados para defesa proativa.
3 pontos - Disponibilizar lista curada de atividades em tendência do underground (ransomware, APTs) com estatísticas.</v>
      </c>
      <c r="C66" s="104" t="inlineStr">
        <is>
          <t>Requisitos!C65 (1/1)</t>
        </is>
      </c>
    </row>
    <row r="67" ht="78" customHeight="1" s="37">
      <c r="A67" s="105" t="str">
        <f>Requisitos!A66</f>
        <v>RF-P-017</v>
      </c>
      <c r="B67" s="105" t="str">
        <f>MID(Requisitos!C66,1,332)</f>
        <v>2 pontos - Analisar padrões por setor e região para revelar preferências de alvo e estratégias.
2 pontos - Criar automaticamente perfis detalhados de grupos de ataque com táticas, técnicas, afiliações e histórico de atividades.
1 ponto - Fornecer inteligência sobre aliases utilizados por grupos APT para rastreamento de atividades.</v>
      </c>
      <c r="C67" s="105" t="inlineStr">
        <is>
          <t>Requisitos!C66 (1/1)</t>
        </is>
      </c>
    </row>
    <row r="68" ht="63" customHeight="1" s="37">
      <c r="A68" s="104" t="str">
        <f>Requisitos!A67</f>
        <v>RF-P-018</v>
      </c>
      <c r="B68" s="104" t="str">
        <f>MID(Requisitos!C67,1,292)</f>
        <v>1 ponto - Permitir marcar resultados como resolvidos para gestão do ciclo de vida dos incidentes.
1 ponto - Filtrar incidentes por data de infecção ou data de criação, categoria, FQDN, criticidade e status de resolução.
1 ponto - Permitir importar arquivos CSV com ativos digitais relevantes.</v>
      </c>
      <c r="C68" s="104" t="inlineStr">
        <is>
          <t>Requisitos!C67 (1/1)</t>
        </is>
      </c>
    </row>
    <row r="69" ht="63" customHeight="1" s="37">
      <c r="A69" s="105" t="str">
        <f>Requisitos!A68</f>
        <v>RF-P-019</v>
      </c>
      <c r="B69" s="105" t="str">
        <f>MID(Requisitos!C68,1,320)</f>
        <v>2 pontos - Disponibilizar dashboard de IoCs com lista direcionada originada de campanhas maliciosas.
2 pontos - Permitir que o InPACTA/Cliente envie seus próprios IoCs para correlação, alertas e enriquecimento.
1 ponto - Enriquecer cada IOC com contexto: campanhas associadas, fonte, timestamps e discussões underground.</v>
      </c>
      <c r="C69" s="105" t="inlineStr">
        <is>
          <t>Requisitos!C68 (1/1)</t>
        </is>
      </c>
    </row>
    <row r="70" ht="40" customHeight="1" s="37">
      <c r="A70" s="104" t="str">
        <f>Requisitos!A69</f>
        <v>RF-P-020</v>
      </c>
      <c r="B70" s="104" t="str">
        <f>MID(Requisitos!C69,1,67)</f>
        <v>3 pontos - Geração de briefings diários de inteligência de ameaças.</v>
      </c>
      <c r="C70" s="104" t="inlineStr">
        <is>
          <t>Requisitos!C69 (1/1)</t>
        </is>
      </c>
    </row>
    <row r="71" ht="40" customHeight="1" s="37">
      <c r="A71" s="105" t="str">
        <f>Requisitos!A70</f>
        <v>RF-P-021</v>
      </c>
      <c r="B71" s="105" t="str">
        <f>MID(Requisitos!C70,1,110)</f>
        <v>3 pontos - Capacidade de verificação e escalonamento de incidentes diretamente nas plataformas de colaboração.</v>
      </c>
      <c r="C71" s="105" t="inlineStr">
        <is>
          <t>Requisitos!C70 (1/1)</t>
        </is>
      </c>
    </row>
    <row r="72" ht="40" customHeight="1" s="37">
      <c r="A72" s="104" t="str">
        <f>Requisitos!A71</f>
        <v>RF-P-022</v>
      </c>
      <c r="B72" s="104" t="str">
        <f>MID(Requisitos!C71,1,106)</f>
        <v>2 pontos - Fluxos de trabalho de validação de incidentes, agilizando a triagem e a confirmação de ameaças.</v>
      </c>
      <c r="C72" s="104" t="inlineStr">
        <is>
          <t>Requisitos!C71 (1/1)</t>
        </is>
      </c>
    </row>
    <row r="73" ht="48" customHeight="1" s="37">
      <c r="A73" s="105" t="str">
        <f>Requisitos!A72</f>
        <v>RF-P-023</v>
      </c>
      <c r="B73" s="105" t="str">
        <f>MID(Requisitos!C72,1,247)</f>
        <v>3 pontos - Permitir consultas, análises, investigações e apresentação de resultados em múltiplos idiomas, com tradução e interpretação contextual que preservem, tanto quanto tecnicamente possível, o significado técnico das informações processadas.</v>
      </c>
      <c r="C73" s="105" t="inlineStr">
        <is>
          <t>Requisitos!C72 (1/1)</t>
        </is>
      </c>
    </row>
  </sheetData>
  <autoFilter ref="A4:C73"/>
  <mergeCells count="2">
    <mergeCell ref="A1:C1"/>
    <mergeCell ref="A2:C2"/>
  </mergeCells>
  <printOptions horizontalCentered="1"/>
  <pageMargins left="0.3" right="0.3" top="1" bottom="1" header="0.5" footer="0.5"/>
  <pageSetup orientation="landscape" paperSize="9" fitToHeight="0"/>
</worksheet>
</file>

<file path=xl/worksheets/sheet5.xml><?xml version="1.0" encoding="utf-8"?>
<worksheet xmlns="http://schemas.openxmlformats.org/spreadsheetml/2006/main">
  <sheetPr>
    <outlinePr summaryBelow="1" summaryRight="1"/>
    <pageSetUpPr fitToPage="1"/>
  </sheetPr>
  <dimension ref="A1:K74"/>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16" customWidth="1" style="37" min="1" max="1"/>
    <col width="43" customWidth="1" style="37" min="2" max="2"/>
    <col width="12" customWidth="1" style="37" min="3" max="3"/>
    <col width="16" customWidth="1" style="37" min="4" max="4"/>
    <col width="16" customWidth="1" style="37" min="5" max="5"/>
    <col width="25" customWidth="1" style="37" min="6" max="6"/>
    <col width="65" customWidth="1" style="37" min="7" max="7"/>
    <col width="48" customWidth="1" style="37" min="9" max="9"/>
    <col width="30" customWidth="1" style="37" min="11" max="11"/>
  </cols>
  <sheetData>
    <row r="1" ht="32" customHeight="1" s="37">
      <c r="A1" s="101" t="inlineStr">
        <is>
          <t>CONTROLE DE COERÊNCIA DA AVALIAÇÃO</t>
        </is>
      </c>
      <c r="H1" s="71" t="n"/>
      <c r="I1" s="71" t="inlineStr">
        <is>
          <t>Atende integralmente</t>
        </is>
      </c>
      <c r="K1" s="120" t="inlineStr">
        <is>
          <t>Atende integralmente</t>
        </is>
      </c>
    </row>
    <row r="2" ht="28" customHeight="1" s="37">
      <c r="A2" s="55" t="inlineStr">
        <is>
          <t>Conferência de preenchimento, sem novos pesos ou requisitos. PENDENTE/INCONSISTENTE impede finalizar o resultado; não equivale, isoladamente, à reprovação material. A análise das evidências permanece com a Comissão.</t>
        </is>
      </c>
      <c r="H2" s="71" t="n"/>
      <c r="I2" s="71" t="inlineStr">
        <is>
          <t>Atende parcialmente</t>
        </is>
      </c>
      <c r="K2" s="120" t="inlineStr">
        <is>
          <t>Atende parcialmente</t>
        </is>
      </c>
    </row>
    <row r="3" ht="28" customHeight="1" s="37">
      <c r="H3" s="71" t="n"/>
      <c r="I3" s="71" t="inlineStr">
        <is>
          <t>Atende mediante configuração ou parametrização</t>
        </is>
      </c>
      <c r="K3" s="120" t="inlineStr">
        <is>
          <t>Não atende</t>
        </is>
      </c>
    </row>
    <row r="4">
      <c r="A4" s="71" t="n"/>
      <c r="B4" s="71" t="n"/>
      <c r="C4" s="71" t="n"/>
      <c r="D4" s="71" t="n"/>
      <c r="E4" s="71" t="n"/>
      <c r="F4" s="71" t="n"/>
      <c r="G4" s="71" t="n"/>
      <c r="H4" s="71" t="n"/>
      <c r="I4" s="71" t="inlineStr">
        <is>
          <t>Atende mediante integração</t>
        </is>
      </c>
    </row>
    <row r="5" ht="42" customHeight="1" s="37">
      <c r="A5" s="106" t="inlineStr">
        <is>
          <t>Código</t>
        </is>
      </c>
      <c r="B5" s="106" t="inlineStr">
        <is>
          <t>Situação registrada</t>
        </is>
      </c>
      <c r="C5" s="106" t="inlineStr">
        <is>
          <t>Peso</t>
        </is>
      </c>
      <c r="D5" s="106" t="inlineStr">
        <is>
          <t>Pontos atribuídos</t>
        </is>
      </c>
      <c r="E5" s="106" t="inlineStr">
        <is>
          <t>Pontos validados</t>
        </is>
      </c>
      <c r="F5" s="106" t="inlineStr">
        <is>
          <t>Controle</t>
        </is>
      </c>
      <c r="G5" s="106" t="inlineStr">
        <is>
          <t>Orientação</t>
        </is>
      </c>
      <c r="H5" s="71" t="n"/>
      <c r="I5" s="71" t="inlineStr">
        <is>
          <t>Depende de diligência ou comprovação complementar</t>
        </is>
      </c>
    </row>
    <row r="6" ht="82" customHeight="1" s="37">
      <c r="A6" s="55" t="str">
        <f>Requisitos!A7</f>
        <v>RF-E-001</v>
      </c>
      <c r="B6" s="55" t="str">
        <f>IF(Requisitos!J7="","",Requisitos!J7)</f>
        <v/>
      </c>
      <c r="C6" s="55" t="n">
        <f>Requisitos!E7</f>
        <v>0</v>
      </c>
      <c r="D6" s="55" t="str">
        <f>IF(ISBLANK(Requisitos!O7),"",Requisitos!O7)</f>
        <v/>
      </c>
      <c r="E6" s="55" t="n">
        <f>Requisitos!P7</f>
        <v>0</v>
      </c>
      <c r="F6" s="109" t="str">
        <f>IF(OR(Requisitos!N7="Pendente de diligência limitada",Requisitos!N7="Inaplicabilidade não resolvida"),"PENDENTE",IF(AND(B6&lt;&gt;"",OR(LEN(TRIM(Requisitos!K7&amp;""))=0,LEN(TRIM(Requisitos!L7&amp;""))=0,LEN(TRIM(Requisitos!M7&amp;""))=0,LEN(TRIM(Requisitos!Q7&amp;""))=0)),"PENDENTE",IF(AND(LEN(D6&amp;"")&gt;0,NOT(ISNUMBER(D6))),"INCONSISTENTE",IF(AND(ISNUMBER(D6),OR(D6&lt;0,D6&gt;C6)),"INCONSISTENTE",IF(OR(B6="",B6="Atende mediante configuração ou parametrização",B6="Atende mediante integração",B6="Depende de diligência ou comprovação complementar",B6="Depende de PoC ou validação técnica"),IF(AND(ISNUMBER(D6),D6&gt;0),"INCONSISTENTE","PENDENTE"),IF(B6="Atende integralmente",IF(C6=0,"OK",IF(NOT(ISNUMBER(D6)),"PENDENTE",IF(D6=C6,"OK","INCONSISTENTE"))),IF(OR(B6="Atende parcialmente",B6="Não atende"),IF(OR(NOT(ISNUMBER(D6)),D6=0),"OK","INCONSISTENTE"),"INCONSISTENTE")))))))</f>
        <v>PENDENTE</v>
      </c>
      <c r="G6" s="55" t="inlineStr">
        <is>
          <t>Integral: pontuação igual ao peso. Parcial/não atende: zero quando não houver gradação expressa. Concluir a verificação; não presumir atendimento.</t>
        </is>
      </c>
      <c r="H6" s="71" t="n"/>
      <c r="I6" s="71" t="inlineStr">
        <is>
          <t>Depende de PoC ou validação técnica</t>
        </is>
      </c>
    </row>
    <row r="7" ht="82" customHeight="1" s="37">
      <c r="A7" s="55" t="str">
        <f>Requisitos!A8</f>
        <v>RF-E-002</v>
      </c>
      <c r="B7" s="55" t="str">
        <f>IF(Requisitos!J8="","",Requisitos!J8)</f>
        <v/>
      </c>
      <c r="C7" s="55" t="n">
        <f>Requisitos!E8</f>
        <v>0</v>
      </c>
      <c r="D7" s="55" t="str">
        <f>IF(ISBLANK(Requisitos!O8),"",Requisitos!O8)</f>
        <v/>
      </c>
      <c r="E7" s="55" t="n">
        <f>Requisitos!P8</f>
        <v>0</v>
      </c>
      <c r="F7" s="109" t="str">
        <f>IF(OR(Requisitos!N8="Pendente de diligência limitada",Requisitos!N8="Inaplicabilidade não resolvida"),"PENDENTE",IF(AND(B7&lt;&gt;"",OR(LEN(TRIM(Requisitos!K8&amp;""))=0,LEN(TRIM(Requisitos!L8&amp;""))=0,LEN(TRIM(Requisitos!M8&amp;""))=0,LEN(TRIM(Requisitos!Q8&amp;""))=0)),"PENDENTE",IF(AND(LEN(D7&amp;"")&gt;0,NOT(ISNUMBER(D7))),"INCONSISTENTE",IF(AND(ISNUMBER(D7),OR(D7&lt;0,D7&gt;C7)),"INCONSISTENTE",IF(OR(B7="",B7="Atende mediante configuração ou parametrização",B7="Atende mediante integração",B7="Depende de diligência ou comprovação complementar",B7="Depende de PoC ou validação técnica"),IF(AND(ISNUMBER(D7),D7&gt;0),"INCONSISTENTE","PENDENTE"),IF(B7="Atende integralmente",IF(C7=0,"OK",IF(NOT(ISNUMBER(D7)),"PENDENTE",IF(D7=C7,"OK","INCONSISTENTE"))),IF(OR(B7="Atende parcialmente",B7="Não atende"),IF(OR(NOT(ISNUMBER(D7)),D7=0),"OK","INCONSISTENTE"),"INCONSISTENTE")))))))</f>
        <v>PENDENTE</v>
      </c>
      <c r="G7" s="55" t="inlineStr">
        <is>
          <t>Integral: pontuação igual ao peso. Parcial/não atende: zero quando não houver gradação expressa. Concluir a verificação; não presumir atendimento.</t>
        </is>
      </c>
      <c r="H7" s="71" t="n"/>
      <c r="I7" s="71" t="inlineStr">
        <is>
          <t>Não atende</t>
        </is>
      </c>
    </row>
    <row r="8" ht="82" customHeight="1" s="37">
      <c r="A8" s="55" t="str">
        <f>Requisitos!A9</f>
        <v>RF-E-003</v>
      </c>
      <c r="B8" s="55" t="str">
        <f>IF(Requisitos!J9="","",Requisitos!J9)</f>
        <v/>
      </c>
      <c r="C8" s="55" t="n">
        <f>Requisitos!E9</f>
        <v>0</v>
      </c>
      <c r="D8" s="55" t="str">
        <f>IF(ISBLANK(Requisitos!O9),"",Requisitos!O9)</f>
        <v/>
      </c>
      <c r="E8" s="55" t="n">
        <f>Requisitos!P9</f>
        <v>0</v>
      </c>
      <c r="F8" s="109" t="str">
        <f>IF(OR(Requisitos!N9="Pendente de diligência limitada",Requisitos!N9="Inaplicabilidade não resolvida"),"PENDENTE",IF(AND(B8&lt;&gt;"",OR(LEN(TRIM(Requisitos!K9&amp;""))=0,LEN(TRIM(Requisitos!L9&amp;""))=0,LEN(TRIM(Requisitos!M9&amp;""))=0,LEN(TRIM(Requisitos!Q9&amp;""))=0)),"PENDENTE",IF(AND(LEN(D8&amp;"")&gt;0,NOT(ISNUMBER(D8))),"INCONSISTENTE",IF(AND(ISNUMBER(D8),OR(D8&lt;0,D8&gt;C8)),"INCONSISTENTE",IF(OR(B8="",B8="Atende mediante configuração ou parametrização",B8="Atende mediante integração",B8="Depende de diligência ou comprovação complementar",B8="Depende de PoC ou validação técnica"),IF(AND(ISNUMBER(D8),D8&gt;0),"INCONSISTENTE","PENDENTE"),IF(B8="Atende integralmente",IF(C8=0,"OK",IF(NOT(ISNUMBER(D8)),"PENDENTE",IF(D8=C8,"OK","INCONSISTENTE"))),IF(OR(B8="Atende parcialmente",B8="Não atende"),IF(OR(NOT(ISNUMBER(D8)),D8=0),"OK","INCONSISTENTE"),"INCONSISTENTE")))))))</f>
        <v>PENDENTE</v>
      </c>
      <c r="G8" s="55" t="inlineStr">
        <is>
          <t>Integral: pontuação igual ao peso. Parcial/não atende: zero quando não houver gradação expressa. Concluir a verificação; não presumir atendimento.</t>
        </is>
      </c>
      <c r="H8" s="71" t="n"/>
      <c r="I8" s="71" t="n"/>
    </row>
    <row r="9" ht="82" customHeight="1" s="37">
      <c r="A9" s="55" t="str">
        <f>Requisitos!A10</f>
        <v>RF-E-004</v>
      </c>
      <c r="B9" s="55" t="str">
        <f>IF(Requisitos!J10="","",Requisitos!J10)</f>
        <v/>
      </c>
      <c r="C9" s="55" t="n">
        <f>Requisitos!E10</f>
        <v>0</v>
      </c>
      <c r="D9" s="55" t="str">
        <f>IF(ISBLANK(Requisitos!O10),"",Requisitos!O10)</f>
        <v/>
      </c>
      <c r="E9" s="55" t="n">
        <f>Requisitos!P10</f>
        <v>0</v>
      </c>
      <c r="F9" s="109" t="str">
        <f>IF(OR(Requisitos!N10="Pendente de diligência limitada",Requisitos!N10="Inaplicabilidade não resolvida"),"PENDENTE",IF(AND(B9&lt;&gt;"",OR(LEN(TRIM(Requisitos!K10&amp;""))=0,LEN(TRIM(Requisitos!L10&amp;""))=0,LEN(TRIM(Requisitos!M10&amp;""))=0,LEN(TRIM(Requisitos!Q10&amp;""))=0)),"PENDENTE",IF(AND(LEN(D9&amp;"")&gt;0,NOT(ISNUMBER(D9))),"INCONSISTENTE",IF(AND(ISNUMBER(D9),OR(D9&lt;0,D9&gt;C9)),"INCONSISTENTE",IF(OR(B9="",B9="Atende mediante configuração ou parametrização",B9="Atende mediante integração",B9="Depende de diligência ou comprovação complementar",B9="Depende de PoC ou validação técnica"),IF(AND(ISNUMBER(D9),D9&gt;0),"INCONSISTENTE","PENDENTE"),IF(B9="Atende integralmente",IF(C9=0,"OK",IF(NOT(ISNUMBER(D9)),"PENDENTE",IF(D9=C9,"OK","INCONSISTENTE"))),IF(OR(B9="Atende parcialmente",B9="Não atende"),IF(OR(NOT(ISNUMBER(D9)),D9=0),"OK","INCONSISTENTE"),"INCONSISTENTE")))))))</f>
        <v>PENDENTE</v>
      </c>
      <c r="G9" s="55" t="inlineStr">
        <is>
          <t>Integral: pontuação igual ao peso. Parcial/não atende: zero quando não houver gradação expressa. Concluir a verificação; não presumir atendimento.</t>
        </is>
      </c>
      <c r="H9" s="71" t="n"/>
      <c r="I9" s="71" t="inlineStr">
        <is>
          <t>Lista auxiliar de situações; mesmos valores da matriz de origem.</t>
        </is>
      </c>
    </row>
    <row r="10" ht="82" customHeight="1" s="37">
      <c r="A10" s="55" t="str">
        <f>Requisitos!A11</f>
        <v>RF-E-005</v>
      </c>
      <c r="B10" s="55" t="str">
        <f>IF(Requisitos!J11="","",Requisitos!J11)</f>
        <v/>
      </c>
      <c r="C10" s="55" t="n">
        <f>Requisitos!E11</f>
        <v>0</v>
      </c>
      <c r="D10" s="55" t="str">
        <f>IF(ISBLANK(Requisitos!O11),"",Requisitos!O11)</f>
        <v/>
      </c>
      <c r="E10" s="55" t="n">
        <f>Requisitos!P11</f>
        <v>0</v>
      </c>
      <c r="F10" s="109" t="str">
        <f>IF(OR(Requisitos!N11="Pendente de diligência limitada",Requisitos!N11="Inaplicabilidade não resolvida"),"PENDENTE",IF(AND(B10&lt;&gt;"",OR(LEN(TRIM(Requisitos!K11&amp;""))=0,LEN(TRIM(Requisitos!L11&amp;""))=0,LEN(TRIM(Requisitos!M11&amp;""))=0,LEN(TRIM(Requisitos!Q11&amp;""))=0)),"PENDENTE",IF(AND(LEN(D10&amp;"")&gt;0,NOT(ISNUMBER(D10))),"INCONSISTENTE",IF(AND(ISNUMBER(D10),OR(D10&lt;0,D10&gt;C10)),"INCONSISTENTE",IF(OR(B10="",B10="Atende mediante configuração ou parametrização",B10="Atende mediante integração",B10="Depende de diligência ou comprovação complementar",B10="Depende de PoC ou validação técnica"),IF(AND(ISNUMBER(D10),D10&gt;0),"INCONSISTENTE","PENDENTE"),IF(B10="Atende integralmente",IF(C10=0,"OK",IF(NOT(ISNUMBER(D10)),"PENDENTE",IF(D10=C10,"OK","INCONSISTENTE"))),IF(OR(B10="Atende parcialmente",B10="Não atende"),IF(OR(NOT(ISNUMBER(D10)),D10=0),"OK","INCONSISTENTE"),"INCONSISTENTE")))))))</f>
        <v>PENDENTE</v>
      </c>
      <c r="G10" s="55" t="inlineStr">
        <is>
          <t>Integral: pontuação igual ao peso. Parcial/não atende: zero quando não houver gradação expressa. Concluir a verificação; não presumir atendimento.</t>
        </is>
      </c>
      <c r="H10" s="71" t="n"/>
      <c r="I10" s="71" t="n"/>
    </row>
    <row r="11" ht="82" customHeight="1" s="37">
      <c r="A11" s="55" t="str">
        <f>Requisitos!A12</f>
        <v>RF-E-006</v>
      </c>
      <c r="B11" s="55" t="str">
        <f>IF(Requisitos!J12="","",Requisitos!J12)</f>
        <v/>
      </c>
      <c r="C11" s="55" t="n">
        <f>Requisitos!E12</f>
        <v>0</v>
      </c>
      <c r="D11" s="55" t="str">
        <f>IF(ISBLANK(Requisitos!O12),"",Requisitos!O12)</f>
        <v/>
      </c>
      <c r="E11" s="55" t="n">
        <f>Requisitos!P12</f>
        <v>0</v>
      </c>
      <c r="F11" s="109" t="str">
        <f>IF(OR(Requisitos!N12="Pendente de diligência limitada",Requisitos!N12="Inaplicabilidade não resolvida"),"PENDENTE",IF(AND(B11&lt;&gt;"",OR(LEN(TRIM(Requisitos!K12&amp;""))=0,LEN(TRIM(Requisitos!L12&amp;""))=0,LEN(TRIM(Requisitos!M12&amp;""))=0,LEN(TRIM(Requisitos!Q12&amp;""))=0)),"PENDENTE",IF(AND(LEN(D11&amp;"")&gt;0,NOT(ISNUMBER(D11))),"INCONSISTENTE",IF(AND(ISNUMBER(D11),OR(D11&lt;0,D11&gt;C11)),"INCONSISTENTE",IF(OR(B11="",B11="Atende mediante configuração ou parametrização",B11="Atende mediante integração",B11="Depende de diligência ou comprovação complementar",B11="Depende de PoC ou validação técnica"),IF(AND(ISNUMBER(D11),D11&gt;0),"INCONSISTENTE","PENDENTE"),IF(B11="Atende integralmente",IF(C11=0,"OK",IF(NOT(ISNUMBER(D11)),"PENDENTE",IF(D11=C11,"OK","INCONSISTENTE"))),IF(OR(B11="Atende parcialmente",B11="Não atende"),IF(OR(NOT(ISNUMBER(D11)),D11=0),"OK","INCONSISTENTE"),"INCONSISTENTE")))))))</f>
        <v>PENDENTE</v>
      </c>
      <c r="G11" s="55" t="inlineStr">
        <is>
          <t>Integral: pontuação igual ao peso. Parcial/não atende: zero quando não houver gradação expressa. Concluir a verificação; não presumir atendimento.</t>
        </is>
      </c>
      <c r="H11" s="71" t="n"/>
      <c r="I11" s="71" t="n"/>
    </row>
    <row r="12" ht="82" customHeight="1" s="37">
      <c r="A12" s="55" t="str">
        <f>Requisitos!A13</f>
        <v>RF-E-007</v>
      </c>
      <c r="B12" s="55" t="str">
        <f>IF(Requisitos!J13="","",Requisitos!J13)</f>
        <v/>
      </c>
      <c r="C12" s="55" t="n">
        <f>Requisitos!E13</f>
        <v>0</v>
      </c>
      <c r="D12" s="55" t="str">
        <f>IF(ISBLANK(Requisitos!O13),"",Requisitos!O13)</f>
        <v/>
      </c>
      <c r="E12" s="55" t="n">
        <f>Requisitos!P13</f>
        <v>0</v>
      </c>
      <c r="F12" s="109" t="str">
        <f>IF(OR(Requisitos!N13="Pendente de diligência limitada",Requisitos!N13="Inaplicabilidade não resolvida"),"PENDENTE",IF(AND(B12&lt;&gt;"",OR(LEN(TRIM(Requisitos!K13&amp;""))=0,LEN(TRIM(Requisitos!L13&amp;""))=0,LEN(TRIM(Requisitos!M13&amp;""))=0,LEN(TRIM(Requisitos!Q13&amp;""))=0)),"PENDENTE",IF(AND(LEN(D12&amp;"")&gt;0,NOT(ISNUMBER(D12))),"INCONSISTENTE",IF(AND(ISNUMBER(D12),OR(D12&lt;0,D12&gt;C12)),"INCONSISTENTE",IF(OR(B12="",B12="Atende mediante configuração ou parametrização",B12="Atende mediante integração",B12="Depende de diligência ou comprovação complementar",B12="Depende de PoC ou validação técnica"),IF(AND(ISNUMBER(D12),D12&gt;0),"INCONSISTENTE","PENDENTE"),IF(B12="Atende integralmente",IF(C12=0,"OK",IF(NOT(ISNUMBER(D12)),"PENDENTE",IF(D12=C12,"OK","INCONSISTENTE"))),IF(OR(B12="Atende parcialmente",B12="Não atende"),IF(OR(NOT(ISNUMBER(D12)),D12=0),"OK","INCONSISTENTE"),"INCONSISTENTE")))))))</f>
        <v>PENDENTE</v>
      </c>
      <c r="G12" s="55" t="inlineStr">
        <is>
          <t>Integral: pontuação igual ao peso. Parcial/não atende: zero quando não houver gradação expressa. Concluir a verificação; não presumir atendimento.</t>
        </is>
      </c>
      <c r="H12" s="71" t="n"/>
      <c r="I12" s="71" t="n"/>
    </row>
    <row r="13" ht="82" customHeight="1" s="37">
      <c r="A13" s="55" t="str">
        <f>Requisitos!A14</f>
        <v>RF-E-008</v>
      </c>
      <c r="B13" s="55" t="str">
        <f>IF(Requisitos!J14="","",Requisitos!J14)</f>
        <v/>
      </c>
      <c r="C13" s="55" t="n">
        <f>Requisitos!E14</f>
        <v>0</v>
      </c>
      <c r="D13" s="55" t="str">
        <f>IF(ISBLANK(Requisitos!O14),"",Requisitos!O14)</f>
        <v/>
      </c>
      <c r="E13" s="55" t="n">
        <f>Requisitos!P14</f>
        <v>0</v>
      </c>
      <c r="F13" s="109" t="str">
        <f>IF(OR(Requisitos!N14="Pendente de diligência limitada",Requisitos!N14="Inaplicabilidade não resolvida"),"PENDENTE",IF(AND(B13&lt;&gt;"",OR(LEN(TRIM(Requisitos!K14&amp;""))=0,LEN(TRIM(Requisitos!L14&amp;""))=0,LEN(TRIM(Requisitos!M14&amp;""))=0,LEN(TRIM(Requisitos!Q14&amp;""))=0)),"PENDENTE",IF(AND(LEN(D13&amp;"")&gt;0,NOT(ISNUMBER(D13))),"INCONSISTENTE",IF(AND(ISNUMBER(D13),OR(D13&lt;0,D13&gt;C13)),"INCONSISTENTE",IF(OR(B13="",B13="Atende mediante configuração ou parametrização",B13="Atende mediante integração",B13="Depende de diligência ou comprovação complementar",B13="Depende de PoC ou validação técnica"),IF(AND(ISNUMBER(D13),D13&gt;0),"INCONSISTENTE","PENDENTE"),IF(B13="Atende integralmente",IF(C13=0,"OK",IF(NOT(ISNUMBER(D13)),"PENDENTE",IF(D13=C13,"OK","INCONSISTENTE"))),IF(OR(B13="Atende parcialmente",B13="Não atende"),IF(OR(NOT(ISNUMBER(D13)),D13=0),"OK","INCONSISTENTE"),"INCONSISTENTE")))))))</f>
        <v>PENDENTE</v>
      </c>
      <c r="G13" s="55" t="inlineStr">
        <is>
          <t>Integral: pontuação igual ao peso. Parcial/não atende: zero quando não houver gradação expressa. Concluir a verificação; não presumir atendimento.</t>
        </is>
      </c>
      <c r="H13" s="71" t="n"/>
      <c r="I13" s="71" t="n"/>
    </row>
    <row r="14" ht="82" customHeight="1" s="37">
      <c r="A14" s="55" t="str">
        <f>Requisitos!A15</f>
        <v>RF-E-009</v>
      </c>
      <c r="B14" s="55" t="str">
        <f>IF(Requisitos!J15="","",Requisitos!J15)</f>
        <v/>
      </c>
      <c r="C14" s="55" t="n">
        <f>Requisitos!E15</f>
        <v>0</v>
      </c>
      <c r="D14" s="55" t="str">
        <f>IF(ISBLANK(Requisitos!O15),"",Requisitos!O15)</f>
        <v/>
      </c>
      <c r="E14" s="55" t="n">
        <f>Requisitos!P15</f>
        <v>0</v>
      </c>
      <c r="F14" s="109" t="str">
        <f>IF(OR(Requisitos!N15="Pendente de diligência limitada",Requisitos!N15="Inaplicabilidade não resolvida"),"PENDENTE",IF(AND(B14&lt;&gt;"",OR(LEN(TRIM(Requisitos!K15&amp;""))=0,LEN(TRIM(Requisitos!L15&amp;""))=0,LEN(TRIM(Requisitos!M15&amp;""))=0,LEN(TRIM(Requisitos!Q15&amp;""))=0)),"PENDENTE",IF(AND(LEN(D14&amp;"")&gt;0,NOT(ISNUMBER(D14))),"INCONSISTENTE",IF(AND(ISNUMBER(D14),OR(D14&lt;0,D14&gt;C14)),"INCONSISTENTE",IF(OR(B14="",B14="Atende mediante configuração ou parametrização",B14="Atende mediante integração",B14="Depende de diligência ou comprovação complementar",B14="Depende de PoC ou validação técnica"),IF(AND(ISNUMBER(D14),D14&gt;0),"INCONSISTENTE","PENDENTE"),IF(B14="Atende integralmente",IF(C14=0,"OK",IF(NOT(ISNUMBER(D14)),"PENDENTE",IF(D14=C14,"OK","INCONSISTENTE"))),IF(OR(B14="Atende parcialmente",B14="Não atende"),IF(OR(NOT(ISNUMBER(D14)),D14=0),"OK","INCONSISTENTE"),"INCONSISTENTE")))))))</f>
        <v>PENDENTE</v>
      </c>
      <c r="G14" s="55" t="inlineStr">
        <is>
          <t>Integral: pontuação igual ao peso. Parcial/não atende: zero quando não houver gradação expressa. Concluir a verificação; não presumir atendimento.</t>
        </is>
      </c>
      <c r="H14" s="71" t="n"/>
      <c r="I14" s="71" t="n"/>
    </row>
    <row r="15" ht="82" customHeight="1" s="37">
      <c r="A15" s="55" t="str">
        <f>Requisitos!A16</f>
        <v>RF-E-010</v>
      </c>
      <c r="B15" s="55" t="str">
        <f>IF(Requisitos!J16="","",Requisitos!J16)</f>
        <v/>
      </c>
      <c r="C15" s="55" t="n">
        <f>Requisitos!E16</f>
        <v>0</v>
      </c>
      <c r="D15" s="55" t="str">
        <f>IF(ISBLANK(Requisitos!O16),"",Requisitos!O16)</f>
        <v/>
      </c>
      <c r="E15" s="55" t="n">
        <f>Requisitos!P16</f>
        <v>0</v>
      </c>
      <c r="F15" s="109" t="str">
        <f>IF(OR(Requisitos!N16="Pendente de diligência limitada",Requisitos!N16="Inaplicabilidade não resolvida"),"PENDENTE",IF(AND(B15&lt;&gt;"",OR(LEN(TRIM(Requisitos!K16&amp;""))=0,LEN(TRIM(Requisitos!L16&amp;""))=0,LEN(TRIM(Requisitos!M16&amp;""))=0,LEN(TRIM(Requisitos!Q16&amp;""))=0)),"PENDENTE",IF(AND(LEN(D15&amp;"")&gt;0,NOT(ISNUMBER(D15))),"INCONSISTENTE",IF(AND(ISNUMBER(D15),OR(D15&lt;0,D15&gt;C15)),"INCONSISTENTE",IF(OR(B15="",B15="Atende mediante configuração ou parametrização",B15="Atende mediante integração",B15="Depende de diligência ou comprovação complementar",B15="Depende de PoC ou validação técnica"),IF(AND(ISNUMBER(D15),D15&gt;0),"INCONSISTENTE","PENDENTE"),IF(B15="Atende integralmente",IF(C15=0,"OK",IF(NOT(ISNUMBER(D15)),"PENDENTE",IF(D15=C15,"OK","INCONSISTENTE"))),IF(OR(B15="Atende parcialmente",B15="Não atende"),IF(OR(NOT(ISNUMBER(D15)),D15=0),"OK","INCONSISTENTE"),"INCONSISTENTE")))))))</f>
        <v>PENDENTE</v>
      </c>
      <c r="G15" s="55" t="inlineStr">
        <is>
          <t>Integral: pontuação igual ao peso. Parcial/não atende: zero quando não houver gradação expressa. Concluir a verificação; não presumir atendimento.</t>
        </is>
      </c>
      <c r="H15" s="71" t="n"/>
      <c r="I15" s="71" t="n"/>
    </row>
    <row r="16" ht="82" customHeight="1" s="37">
      <c r="A16" s="55" t="str">
        <f>Requisitos!A17</f>
        <v>RF-E-011</v>
      </c>
      <c r="B16" s="55" t="str">
        <f>IF(Requisitos!J17="","",Requisitos!J17)</f>
        <v/>
      </c>
      <c r="C16" s="55" t="n">
        <f>Requisitos!E17</f>
        <v>0</v>
      </c>
      <c r="D16" s="55" t="str">
        <f>IF(ISBLANK(Requisitos!O17),"",Requisitos!O17)</f>
        <v/>
      </c>
      <c r="E16" s="55" t="n">
        <f>Requisitos!P17</f>
        <v>0</v>
      </c>
      <c r="F16" s="109" t="str">
        <f>IF(OR(Requisitos!N17="Pendente de diligência limitada",Requisitos!N17="Inaplicabilidade não resolvida"),"PENDENTE",IF(AND(B16&lt;&gt;"",OR(LEN(TRIM(Requisitos!K17&amp;""))=0,LEN(TRIM(Requisitos!L17&amp;""))=0,LEN(TRIM(Requisitos!M17&amp;""))=0,LEN(TRIM(Requisitos!Q17&amp;""))=0)),"PENDENTE",IF(AND(LEN(D16&amp;"")&gt;0,NOT(ISNUMBER(D16))),"INCONSISTENTE",IF(AND(ISNUMBER(D16),OR(D16&lt;0,D16&gt;C16)),"INCONSISTENTE",IF(OR(B16="",B16="Atende mediante configuração ou parametrização",B16="Atende mediante integração",B16="Depende de diligência ou comprovação complementar",B16="Depende de PoC ou validação técnica"),IF(AND(ISNUMBER(D16),D16&gt;0),"INCONSISTENTE","PENDENTE"),IF(B16="Atende integralmente",IF(C16=0,"OK",IF(NOT(ISNUMBER(D16)),"PENDENTE",IF(D16=C16,"OK","INCONSISTENTE"))),IF(OR(B16="Atende parcialmente",B16="Não atende"),IF(OR(NOT(ISNUMBER(D16)),D16=0),"OK","INCONSISTENTE"),"INCONSISTENTE")))))))</f>
        <v>PENDENTE</v>
      </c>
      <c r="G16" s="55" t="inlineStr">
        <is>
          <t>Integral: pontuação igual ao peso. Parcial/não atende: zero quando não houver gradação expressa. Concluir a verificação; não presumir atendimento.</t>
        </is>
      </c>
      <c r="H16" s="71" t="n"/>
      <c r="I16" s="71" t="n"/>
    </row>
    <row r="17" ht="82" customHeight="1" s="37">
      <c r="A17" s="55" t="str">
        <f>Requisitos!A18</f>
        <v>RF-E-012</v>
      </c>
      <c r="B17" s="55" t="str">
        <f>IF(Requisitos!J18="","",Requisitos!J18)</f>
        <v/>
      </c>
      <c r="C17" s="55" t="n">
        <f>Requisitos!E18</f>
        <v>0</v>
      </c>
      <c r="D17" s="55" t="str">
        <f>IF(ISBLANK(Requisitos!O18),"",Requisitos!O18)</f>
        <v/>
      </c>
      <c r="E17" s="55" t="n">
        <f>Requisitos!P18</f>
        <v>0</v>
      </c>
      <c r="F17" s="109" t="str">
        <f>IF(OR(Requisitos!N18="Pendente de diligência limitada",Requisitos!N18="Inaplicabilidade não resolvida"),"PENDENTE",IF(AND(B17&lt;&gt;"",OR(LEN(TRIM(Requisitos!K18&amp;""))=0,LEN(TRIM(Requisitos!L18&amp;""))=0,LEN(TRIM(Requisitos!M18&amp;""))=0,LEN(TRIM(Requisitos!Q18&amp;""))=0)),"PENDENTE",IF(AND(LEN(D17&amp;"")&gt;0,NOT(ISNUMBER(D17))),"INCONSISTENTE",IF(AND(ISNUMBER(D17),OR(D17&lt;0,D17&gt;C17)),"INCONSISTENTE",IF(OR(B17="",B17="Atende mediante configuração ou parametrização",B17="Atende mediante integração",B17="Depende de diligência ou comprovação complementar",B17="Depende de PoC ou validação técnica"),IF(AND(ISNUMBER(D17),D17&gt;0),"INCONSISTENTE","PENDENTE"),IF(B17="Atende integralmente",IF(C17=0,"OK",IF(NOT(ISNUMBER(D17)),"PENDENTE",IF(D17=C17,"OK","INCONSISTENTE"))),IF(OR(B17="Atende parcialmente",B17="Não atende"),IF(OR(NOT(ISNUMBER(D17)),D17=0),"OK","INCONSISTENTE"),"INCONSISTENTE")))))))</f>
        <v>PENDENTE</v>
      </c>
      <c r="G17" s="55" t="inlineStr">
        <is>
          <t>Integral: pontuação igual ao peso. Parcial/não atende: zero quando não houver gradação expressa. Concluir a verificação; não presumir atendimento.</t>
        </is>
      </c>
      <c r="H17" s="71" t="n"/>
      <c r="I17" s="71" t="n"/>
    </row>
    <row r="18" ht="82" customHeight="1" s="37">
      <c r="A18" s="55" t="str">
        <f>Requisitos!A19</f>
        <v>RF-E-013</v>
      </c>
      <c r="B18" s="55" t="str">
        <f>IF(Requisitos!J19="","",Requisitos!J19)</f>
        <v/>
      </c>
      <c r="C18" s="55" t="n">
        <f>Requisitos!E19</f>
        <v>0</v>
      </c>
      <c r="D18" s="55" t="str">
        <f>IF(ISBLANK(Requisitos!O19),"",Requisitos!O19)</f>
        <v/>
      </c>
      <c r="E18" s="55" t="n">
        <f>Requisitos!P19</f>
        <v>0</v>
      </c>
      <c r="F18" s="109" t="str">
        <f>IF(OR(Requisitos!N19="Pendente de diligência limitada",Requisitos!N19="Inaplicabilidade não resolvida"),"PENDENTE",IF(AND(B18&lt;&gt;"",OR(LEN(TRIM(Requisitos!K19&amp;""))=0,LEN(TRIM(Requisitos!L19&amp;""))=0,LEN(TRIM(Requisitos!M19&amp;""))=0,LEN(TRIM(Requisitos!Q19&amp;""))=0)),"PENDENTE",IF(AND(LEN(D18&amp;"")&gt;0,NOT(ISNUMBER(D18))),"INCONSISTENTE",IF(AND(ISNUMBER(D18),OR(D18&lt;0,D18&gt;C18)),"INCONSISTENTE",IF(OR(B18="",B18="Atende mediante configuração ou parametrização",B18="Atende mediante integração",B18="Depende de diligência ou comprovação complementar",B18="Depende de PoC ou validação técnica"),IF(AND(ISNUMBER(D18),D18&gt;0),"INCONSISTENTE","PENDENTE"),IF(B18="Atende integralmente",IF(C18=0,"OK",IF(NOT(ISNUMBER(D18)),"PENDENTE",IF(D18=C18,"OK","INCONSISTENTE"))),IF(OR(B18="Atende parcialmente",B18="Não atende"),IF(OR(NOT(ISNUMBER(D18)),D18=0),"OK","INCONSISTENTE"),"INCONSISTENTE")))))))</f>
        <v>PENDENTE</v>
      </c>
      <c r="G18" s="55" t="inlineStr">
        <is>
          <t>Integral: pontuação igual ao peso. Parcial/não atende: zero quando não houver gradação expressa. Concluir a verificação; não presumir atendimento.</t>
        </is>
      </c>
      <c r="H18" s="71" t="n"/>
      <c r="I18" s="71" t="n"/>
    </row>
    <row r="19" ht="82" customHeight="1" s="37">
      <c r="A19" s="55" t="str">
        <f>Requisitos!A20</f>
        <v>RF-E-014</v>
      </c>
      <c r="B19" s="55" t="str">
        <f>IF(Requisitos!J20="","",Requisitos!J20)</f>
        <v/>
      </c>
      <c r="C19" s="55" t="n">
        <f>Requisitos!E20</f>
        <v>0</v>
      </c>
      <c r="D19" s="55" t="str">
        <f>IF(ISBLANK(Requisitos!O20),"",Requisitos!O20)</f>
        <v/>
      </c>
      <c r="E19" s="55" t="n">
        <f>Requisitos!P20</f>
        <v>0</v>
      </c>
      <c r="F19" s="109" t="str">
        <f>IF(OR(Requisitos!N20="Pendente de diligência limitada",Requisitos!N20="Inaplicabilidade não resolvida"),"PENDENTE",IF(AND(B19&lt;&gt;"",OR(LEN(TRIM(Requisitos!K20&amp;""))=0,LEN(TRIM(Requisitos!L20&amp;""))=0,LEN(TRIM(Requisitos!M20&amp;""))=0,LEN(TRIM(Requisitos!Q20&amp;""))=0)),"PENDENTE",IF(AND(LEN(D19&amp;"")&gt;0,NOT(ISNUMBER(D19))),"INCONSISTENTE",IF(AND(ISNUMBER(D19),OR(D19&lt;0,D19&gt;C19)),"INCONSISTENTE",IF(OR(B19="",B19="Atende mediante configuração ou parametrização",B19="Atende mediante integração",B19="Depende de diligência ou comprovação complementar",B19="Depende de PoC ou validação técnica"),IF(AND(ISNUMBER(D19),D19&gt;0),"INCONSISTENTE","PENDENTE"),IF(B19="Atende integralmente",IF(C19=0,"OK",IF(NOT(ISNUMBER(D19)),"PENDENTE",IF(D19=C19,"OK","INCONSISTENTE"))),IF(OR(B19="Atende parcialmente",B19="Não atende"),IF(OR(NOT(ISNUMBER(D19)),D19=0),"OK","INCONSISTENTE"),"INCONSISTENTE")))))))</f>
        <v>PENDENTE</v>
      </c>
      <c r="G19" s="55" t="inlineStr">
        <is>
          <t>Integral: pontuação igual ao peso. Parcial/não atende: zero quando não houver gradação expressa. Concluir a verificação; não presumir atendimento.</t>
        </is>
      </c>
      <c r="H19" s="71" t="n"/>
      <c r="I19" s="71" t="n"/>
    </row>
    <row r="20" ht="82" customHeight="1" s="37">
      <c r="A20" s="55" t="str">
        <f>Requisitos!A21</f>
        <v>RF-E-015</v>
      </c>
      <c r="B20" s="55" t="str">
        <f>IF(Requisitos!J21="","",Requisitos!J21)</f>
        <v/>
      </c>
      <c r="C20" s="55" t="n">
        <f>Requisitos!E21</f>
        <v>0</v>
      </c>
      <c r="D20" s="55" t="str">
        <f>IF(ISBLANK(Requisitos!O21),"",Requisitos!O21)</f>
        <v/>
      </c>
      <c r="E20" s="55" t="n">
        <f>Requisitos!P21</f>
        <v>0</v>
      </c>
      <c r="F20" s="109" t="str">
        <f>IF(OR(Requisitos!N21="Pendente de diligência limitada",Requisitos!N21="Inaplicabilidade não resolvida"),"PENDENTE",IF(AND(B20&lt;&gt;"",OR(LEN(TRIM(Requisitos!K21&amp;""))=0,LEN(TRIM(Requisitos!L21&amp;""))=0,LEN(TRIM(Requisitos!M21&amp;""))=0,LEN(TRIM(Requisitos!Q21&amp;""))=0)),"PENDENTE",IF(AND(LEN(D20&amp;"")&gt;0,NOT(ISNUMBER(D20))),"INCONSISTENTE",IF(AND(ISNUMBER(D20),OR(D20&lt;0,D20&gt;C20)),"INCONSISTENTE",IF(OR(B20="",B20="Atende mediante configuração ou parametrização",B20="Atende mediante integração",B20="Depende de diligência ou comprovação complementar",B20="Depende de PoC ou validação técnica"),IF(AND(ISNUMBER(D20),D20&gt;0),"INCONSISTENTE","PENDENTE"),IF(B20="Atende integralmente",IF(C20=0,"OK",IF(NOT(ISNUMBER(D20)),"PENDENTE",IF(D20=C20,"OK","INCONSISTENTE"))),IF(OR(B20="Atende parcialmente",B20="Não atende"),IF(OR(NOT(ISNUMBER(D20)),D20=0),"OK","INCONSISTENTE"),"INCONSISTENTE")))))))</f>
        <v>PENDENTE</v>
      </c>
      <c r="G20" s="55" t="inlineStr">
        <is>
          <t>Integral: pontuação igual ao peso. Parcial/não atende: zero quando não houver gradação expressa. Concluir a verificação; não presumir atendimento.</t>
        </is>
      </c>
      <c r="H20" s="71" t="n"/>
      <c r="I20" s="71" t="n"/>
    </row>
    <row r="21" ht="82" customHeight="1" s="37">
      <c r="A21" s="55" t="str">
        <f>Requisitos!A22</f>
        <v>RF-E-016A</v>
      </c>
      <c r="B21" s="55" t="str">
        <f>IF(Requisitos!J22="","",Requisitos!J22)</f>
        <v/>
      </c>
      <c r="C21" s="55" t="n">
        <f>Requisitos!E22</f>
        <v>0</v>
      </c>
      <c r="D21" s="55" t="str">
        <f>IF(ISBLANK(Requisitos!O22),"",Requisitos!O22)</f>
        <v/>
      </c>
      <c r="E21" s="55" t="n">
        <f>Requisitos!P22</f>
        <v>0</v>
      </c>
      <c r="F21" s="109" t="str">
        <f>IF(OR(Requisitos!N22="Pendente de diligência limitada",Requisitos!N22="Inaplicabilidade não resolvida"),"PENDENTE",IF(AND(B21&lt;&gt;"",OR(LEN(TRIM(Requisitos!K22&amp;""))=0,LEN(TRIM(Requisitos!L22&amp;""))=0,LEN(TRIM(Requisitos!M22&amp;""))=0,LEN(TRIM(Requisitos!Q22&amp;""))=0)),"PENDENTE",IF(AND(LEN(D21&amp;"")&gt;0,NOT(ISNUMBER(D21))),"INCONSISTENTE",IF(AND(ISNUMBER(D21),OR(D21&lt;0,D21&gt;C21)),"INCONSISTENTE",IF(OR(B21="",B21="Atende mediante configuração ou parametrização",B21="Atende mediante integração",B21="Depende de diligência ou comprovação complementar",B21="Depende de PoC ou validação técnica"),IF(AND(ISNUMBER(D21),D21&gt;0),"INCONSISTENTE","PENDENTE"),IF(B21="Atende integralmente",IF(C21=0,"OK",IF(NOT(ISNUMBER(D21)),"PENDENTE",IF(D21=C21,"OK","INCONSISTENTE"))),IF(OR(B21="Atende parcialmente",B21="Não atende"),IF(OR(NOT(ISNUMBER(D21)),D21=0),"OK","INCONSISTENTE"),"INCONSISTENTE")))))))</f>
        <v>PENDENTE</v>
      </c>
      <c r="G21" s="55" t="inlineStr">
        <is>
          <t>Integral: pontuação igual ao peso. Parcial/não atende: zero quando não houver gradação expressa. Concluir a verificação; não presumir atendimento.</t>
        </is>
      </c>
      <c r="H21" s="71" t="n"/>
      <c r="I21" s="71" t="n"/>
    </row>
    <row r="22" ht="82" customHeight="1" s="37">
      <c r="A22" s="55" t="str">
        <f>Requisitos!A23</f>
        <v>RF-E-016B</v>
      </c>
      <c r="B22" s="55" t="str">
        <f>IF(Requisitos!J23="","",Requisitos!J23)</f>
        <v/>
      </c>
      <c r="C22" s="55" t="n">
        <f>Requisitos!E23</f>
        <v>0</v>
      </c>
      <c r="D22" s="55" t="str">
        <f>IF(ISBLANK(Requisitos!O23),"",Requisitos!O23)</f>
        <v/>
      </c>
      <c r="E22" s="55" t="n">
        <f>Requisitos!P23</f>
        <v>0</v>
      </c>
      <c r="F22" s="109" t="str">
        <f>IF(OR(Requisitos!N23="Pendente de diligência limitada",Requisitos!N23="Inaplicabilidade não resolvida"),"PENDENTE",IF(AND(B22&lt;&gt;"",OR(LEN(TRIM(Requisitos!K23&amp;""))=0,LEN(TRIM(Requisitos!L23&amp;""))=0,LEN(TRIM(Requisitos!M23&amp;""))=0,LEN(TRIM(Requisitos!Q23&amp;""))=0)),"PENDENTE",IF(AND(LEN(D22&amp;"")&gt;0,NOT(ISNUMBER(D22))),"INCONSISTENTE",IF(AND(ISNUMBER(D22),OR(D22&lt;0,D22&gt;C22)),"INCONSISTENTE",IF(OR(B22="",B22="Atende mediante configuração ou parametrização",B22="Atende mediante integração",B22="Depende de diligência ou comprovação complementar",B22="Depende de PoC ou validação técnica"),IF(AND(ISNUMBER(D22),D22&gt;0),"INCONSISTENTE","PENDENTE"),IF(B22="Atende integralmente",IF(C22=0,"OK",IF(NOT(ISNUMBER(D22)),"PENDENTE",IF(D22=C22,"OK","INCONSISTENTE"))),IF(OR(B22="Atende parcialmente",B22="Não atende"),IF(OR(NOT(ISNUMBER(D22)),D22=0),"OK","INCONSISTENTE"),"INCONSISTENTE")))))))</f>
        <v>PENDENTE</v>
      </c>
      <c r="G22" s="55" t="inlineStr">
        <is>
          <t>Integral: pontuação igual ao peso. Parcial/não atende: zero quando não houver gradação expressa. Concluir a verificação; não presumir atendimento.</t>
        </is>
      </c>
      <c r="H22" s="71" t="n"/>
      <c r="I22" s="71" t="n"/>
    </row>
    <row r="23" ht="82" customHeight="1" s="37">
      <c r="A23" s="55" t="str">
        <f>Requisitos!A24</f>
        <v>RF-E-017</v>
      </c>
      <c r="B23" s="55" t="str">
        <f>IF(Requisitos!J24="","",Requisitos!J24)</f>
        <v/>
      </c>
      <c r="C23" s="55" t="n">
        <f>Requisitos!E24</f>
        <v>0</v>
      </c>
      <c r="D23" s="55" t="str">
        <f>IF(ISBLANK(Requisitos!O24),"",Requisitos!O24)</f>
        <v/>
      </c>
      <c r="E23" s="55" t="n">
        <f>Requisitos!P24</f>
        <v>0</v>
      </c>
      <c r="F23" s="109" t="str">
        <f>IF(OR(Requisitos!N24="Pendente de diligência limitada",Requisitos!N24="Inaplicabilidade não resolvida"),"PENDENTE",IF(AND(B23&lt;&gt;"",OR(LEN(TRIM(Requisitos!K24&amp;""))=0,LEN(TRIM(Requisitos!L24&amp;""))=0,LEN(TRIM(Requisitos!M24&amp;""))=0,LEN(TRIM(Requisitos!Q24&amp;""))=0)),"PENDENTE",IF(AND(LEN(D23&amp;"")&gt;0,NOT(ISNUMBER(D23))),"INCONSISTENTE",IF(AND(ISNUMBER(D23),OR(D23&lt;0,D23&gt;C23)),"INCONSISTENTE",IF(OR(B23="",B23="Atende mediante configuração ou parametrização",B23="Atende mediante integração",B23="Depende de diligência ou comprovação complementar",B23="Depende de PoC ou validação técnica"),IF(AND(ISNUMBER(D23),D23&gt;0),"INCONSISTENTE","PENDENTE"),IF(B23="Atende integralmente",IF(C23=0,"OK",IF(NOT(ISNUMBER(D23)),"PENDENTE",IF(D23=C23,"OK","INCONSISTENTE"))),IF(OR(B23="Atende parcialmente",B23="Não atende"),IF(OR(NOT(ISNUMBER(D23)),D23=0),"OK","INCONSISTENTE"),"INCONSISTENTE")))))))</f>
        <v>PENDENTE</v>
      </c>
      <c r="G23" s="55" t="inlineStr">
        <is>
          <t>Integral: pontuação igual ao peso. Parcial/não atende: zero quando não houver gradação expressa. Concluir a verificação; não presumir atendimento.</t>
        </is>
      </c>
      <c r="H23" s="71" t="n"/>
      <c r="I23" s="71" t="n"/>
    </row>
    <row r="24" ht="82" customHeight="1" s="37">
      <c r="A24" s="55" t="str">
        <f>Requisitos!A25</f>
        <v>RF-E-018</v>
      </c>
      <c r="B24" s="55" t="str">
        <f>IF(Requisitos!J25="","",Requisitos!J25)</f>
        <v/>
      </c>
      <c r="C24" s="55" t="n">
        <f>Requisitos!E25</f>
        <v>0</v>
      </c>
      <c r="D24" s="55" t="str">
        <f>IF(ISBLANK(Requisitos!O25),"",Requisitos!O25)</f>
        <v/>
      </c>
      <c r="E24" s="55" t="n">
        <f>Requisitos!P25</f>
        <v>0</v>
      </c>
      <c r="F24" s="109" t="str">
        <f>IF(OR(Requisitos!N25="Pendente de diligência limitada",Requisitos!N25="Inaplicabilidade não resolvida"),"PENDENTE",IF(AND(B24&lt;&gt;"",OR(LEN(TRIM(Requisitos!K25&amp;""))=0,LEN(TRIM(Requisitos!L25&amp;""))=0,LEN(TRIM(Requisitos!M25&amp;""))=0,LEN(TRIM(Requisitos!Q25&amp;""))=0)),"PENDENTE",IF(AND(LEN(D24&amp;"")&gt;0,NOT(ISNUMBER(D24))),"INCONSISTENTE",IF(AND(ISNUMBER(D24),OR(D24&lt;0,D24&gt;C24)),"INCONSISTENTE",IF(OR(B24="",B24="Atende mediante configuração ou parametrização",B24="Atende mediante integração",B24="Depende de diligência ou comprovação complementar",B24="Depende de PoC ou validação técnica"),IF(AND(ISNUMBER(D24),D24&gt;0),"INCONSISTENTE","PENDENTE"),IF(B24="Atende integralmente",IF(C24=0,"OK",IF(NOT(ISNUMBER(D24)),"PENDENTE",IF(D24=C24,"OK","INCONSISTENTE"))),IF(OR(B24="Atende parcialmente",B24="Não atende"),IF(OR(NOT(ISNUMBER(D24)),D24=0),"OK","INCONSISTENTE"),"INCONSISTENTE")))))))</f>
        <v>PENDENTE</v>
      </c>
      <c r="G24" s="55" t="inlineStr">
        <is>
          <t>Integral: pontuação igual ao peso. Parcial/não atende: zero quando não houver gradação expressa. Concluir a verificação; não presumir atendimento.</t>
        </is>
      </c>
      <c r="H24" s="71" t="n"/>
      <c r="I24" s="71" t="n"/>
    </row>
    <row r="25" ht="82" customHeight="1" s="37">
      <c r="A25" s="55" t="str">
        <f>Requisitos!A26</f>
        <v>RF-E-019</v>
      </c>
      <c r="B25" s="55" t="str">
        <f>IF(Requisitos!J26="","",Requisitos!J26)</f>
        <v/>
      </c>
      <c r="C25" s="55" t="n">
        <f>Requisitos!E26</f>
        <v>0</v>
      </c>
      <c r="D25" s="55" t="str">
        <f>IF(ISBLANK(Requisitos!O26),"",Requisitos!O26)</f>
        <v/>
      </c>
      <c r="E25" s="55" t="n">
        <f>Requisitos!P26</f>
        <v>0</v>
      </c>
      <c r="F25" s="109" t="str">
        <f>IF(OR(Requisitos!N26="Pendente de diligência limitada",Requisitos!N26="Inaplicabilidade não resolvida"),"PENDENTE",IF(AND(B25&lt;&gt;"",OR(LEN(TRIM(Requisitos!K26&amp;""))=0,LEN(TRIM(Requisitos!L26&amp;""))=0,LEN(TRIM(Requisitos!M26&amp;""))=0,LEN(TRIM(Requisitos!Q26&amp;""))=0)),"PENDENTE",IF(AND(LEN(D25&amp;"")&gt;0,NOT(ISNUMBER(D25))),"INCONSISTENTE",IF(AND(ISNUMBER(D25),OR(D25&lt;0,D25&gt;C25)),"INCONSISTENTE",IF(OR(B25="",B25="Atende mediante configuração ou parametrização",B25="Atende mediante integração",B25="Depende de diligência ou comprovação complementar",B25="Depende de PoC ou validação técnica"),IF(AND(ISNUMBER(D25),D25&gt;0),"INCONSISTENTE","PENDENTE"),IF(B25="Atende integralmente",IF(C25=0,"OK",IF(NOT(ISNUMBER(D25)),"PENDENTE",IF(D25=C25,"OK","INCONSISTENTE"))),IF(OR(B25="Atende parcialmente",B25="Não atende"),IF(OR(NOT(ISNUMBER(D25)),D25=0),"OK","INCONSISTENTE"),"INCONSISTENTE")))))))</f>
        <v>PENDENTE</v>
      </c>
      <c r="G25" s="55" t="inlineStr">
        <is>
          <t>Integral: pontuação igual ao peso. Parcial/não atende: zero quando não houver gradação expressa. Concluir a verificação; não presumir atendimento.</t>
        </is>
      </c>
      <c r="H25" s="71" t="n"/>
      <c r="I25" s="71" t="n"/>
    </row>
    <row r="26" ht="82" customHeight="1" s="37">
      <c r="A26" s="55" t="str">
        <f>Requisitos!A27</f>
        <v>RF-E-020</v>
      </c>
      <c r="B26" s="55" t="str">
        <f>IF(Requisitos!J27="","",Requisitos!J27)</f>
        <v/>
      </c>
      <c r="C26" s="55" t="n">
        <f>Requisitos!E27</f>
        <v>0</v>
      </c>
      <c r="D26" s="55" t="str">
        <f>IF(ISBLANK(Requisitos!O27),"",Requisitos!O27)</f>
        <v/>
      </c>
      <c r="E26" s="55" t="n">
        <f>Requisitos!P27</f>
        <v>0</v>
      </c>
      <c r="F26" s="109" t="str">
        <f>IF(OR(Requisitos!N27="Pendente de diligência limitada",Requisitos!N27="Inaplicabilidade não resolvida"),"PENDENTE",IF(AND(B26&lt;&gt;"",OR(LEN(TRIM(Requisitos!K27&amp;""))=0,LEN(TRIM(Requisitos!L27&amp;""))=0,LEN(TRIM(Requisitos!M27&amp;""))=0,LEN(TRIM(Requisitos!Q27&amp;""))=0)),"PENDENTE",IF(AND(LEN(D26&amp;"")&gt;0,NOT(ISNUMBER(D26))),"INCONSISTENTE",IF(AND(ISNUMBER(D26),OR(D26&lt;0,D26&gt;C26)),"INCONSISTENTE",IF(OR(B26="",B26="Atende mediante configuração ou parametrização",B26="Atende mediante integração",B26="Depende de diligência ou comprovação complementar",B26="Depende de PoC ou validação técnica"),IF(AND(ISNUMBER(D26),D26&gt;0),"INCONSISTENTE","PENDENTE"),IF(B26="Atende integralmente",IF(C26=0,"OK",IF(NOT(ISNUMBER(D26)),"PENDENTE",IF(D26=C26,"OK","INCONSISTENTE"))),IF(OR(B26="Atende parcialmente",B26="Não atende"),IF(OR(NOT(ISNUMBER(D26)),D26=0),"OK","INCONSISTENTE"),"INCONSISTENTE")))))))</f>
        <v>PENDENTE</v>
      </c>
      <c r="G26" s="55" t="inlineStr">
        <is>
          <t>Integral: pontuação igual ao peso. Parcial/não atende: zero quando não houver gradação expressa. Concluir a verificação; não presumir atendimento.</t>
        </is>
      </c>
      <c r="H26" s="71" t="n"/>
      <c r="I26" s="71" t="n"/>
    </row>
    <row r="27" ht="82" customHeight="1" s="37">
      <c r="A27" s="55" t="str">
        <f>Requisitos!A28</f>
        <v>RF-E-021</v>
      </c>
      <c r="B27" s="55" t="str">
        <f>IF(Requisitos!J28="","",Requisitos!J28)</f>
        <v/>
      </c>
      <c r="C27" s="55" t="n">
        <f>Requisitos!E28</f>
        <v>0</v>
      </c>
      <c r="D27" s="55" t="str">
        <f>IF(ISBLANK(Requisitos!O28),"",Requisitos!O28)</f>
        <v/>
      </c>
      <c r="E27" s="55" t="n">
        <f>Requisitos!P28</f>
        <v>0</v>
      </c>
      <c r="F27" s="109" t="str">
        <f>IF(OR(Requisitos!N28="Pendente de diligência limitada",Requisitos!N28="Inaplicabilidade não resolvida"),"PENDENTE",IF(AND(B27&lt;&gt;"",OR(LEN(TRIM(Requisitos!K28&amp;""))=0,LEN(TRIM(Requisitos!L28&amp;""))=0,LEN(TRIM(Requisitos!M28&amp;""))=0,LEN(TRIM(Requisitos!Q28&amp;""))=0)),"PENDENTE",IF(AND(LEN(D27&amp;"")&gt;0,NOT(ISNUMBER(D27))),"INCONSISTENTE",IF(AND(ISNUMBER(D27),OR(D27&lt;0,D27&gt;C27)),"INCONSISTENTE",IF(OR(B27="",B27="Atende mediante configuração ou parametrização",B27="Atende mediante integração",B27="Depende de diligência ou comprovação complementar",B27="Depende de PoC ou validação técnica"),IF(AND(ISNUMBER(D27),D27&gt;0),"INCONSISTENTE","PENDENTE"),IF(B27="Atende integralmente",IF(C27=0,"OK",IF(NOT(ISNUMBER(D27)),"PENDENTE",IF(D27=C27,"OK","INCONSISTENTE"))),IF(OR(B27="Atende parcialmente",B27="Não atende"),IF(OR(NOT(ISNUMBER(D27)),D27=0),"OK","INCONSISTENTE"),"INCONSISTENTE")))))))</f>
        <v>PENDENTE</v>
      </c>
      <c r="G27" s="55" t="inlineStr">
        <is>
          <t>Integral: pontuação igual ao peso. Parcial/não atende: zero quando não houver gradação expressa. Concluir a verificação; não presumir atendimento.</t>
        </is>
      </c>
      <c r="H27" s="71" t="n"/>
      <c r="I27" s="71" t="n"/>
    </row>
    <row r="28" ht="82" customHeight="1" s="37">
      <c r="A28" s="55" t="str">
        <f>Requisitos!A29</f>
        <v>RF-E-022</v>
      </c>
      <c r="B28" s="55" t="str">
        <f>IF(Requisitos!J29="","",Requisitos!J29)</f>
        <v/>
      </c>
      <c r="C28" s="55" t="n">
        <f>Requisitos!E29</f>
        <v>0</v>
      </c>
      <c r="D28" s="55" t="str">
        <f>IF(ISBLANK(Requisitos!O29),"",Requisitos!O29)</f>
        <v/>
      </c>
      <c r="E28" s="55" t="n">
        <f>Requisitos!P29</f>
        <v>0</v>
      </c>
      <c r="F28" s="109" t="str">
        <f>IF(OR(Requisitos!N29="Pendente de diligência limitada",Requisitos!N29="Inaplicabilidade não resolvida"),"PENDENTE",IF(AND(B28&lt;&gt;"",OR(LEN(TRIM(Requisitos!K29&amp;""))=0,LEN(TRIM(Requisitos!L29&amp;""))=0,LEN(TRIM(Requisitos!M29&amp;""))=0,LEN(TRIM(Requisitos!Q29&amp;""))=0)),"PENDENTE",IF(AND(LEN(D28&amp;"")&gt;0,NOT(ISNUMBER(D28))),"INCONSISTENTE",IF(AND(ISNUMBER(D28),OR(D28&lt;0,D28&gt;C28)),"INCONSISTENTE",IF(OR(B28="",B28="Atende mediante configuração ou parametrização",B28="Atende mediante integração",B28="Depende de diligência ou comprovação complementar",B28="Depende de PoC ou validação técnica"),IF(AND(ISNUMBER(D28),D28&gt;0),"INCONSISTENTE","PENDENTE"),IF(B28="Atende integralmente",IF(C28=0,"OK",IF(NOT(ISNUMBER(D28)),"PENDENTE",IF(D28=C28,"OK","INCONSISTENTE"))),IF(OR(B28="Atende parcialmente",B28="Não atende"),IF(OR(NOT(ISNUMBER(D28)),D28=0),"OK","INCONSISTENTE"),"INCONSISTENTE")))))))</f>
        <v>PENDENTE</v>
      </c>
      <c r="G28" s="55" t="inlineStr">
        <is>
          <t>Integral: pontuação igual ao peso. Parcial/não atende: zero quando não houver gradação expressa. Concluir a verificação; não presumir atendimento.</t>
        </is>
      </c>
      <c r="H28" s="71" t="n"/>
      <c r="I28" s="71" t="n"/>
    </row>
    <row r="29" ht="82" customHeight="1" s="37">
      <c r="A29" s="55" t="str">
        <f>Requisitos!A30</f>
        <v>RF-E-023</v>
      </c>
      <c r="B29" s="55" t="str">
        <f>IF(Requisitos!J30="","",Requisitos!J30)</f>
        <v/>
      </c>
      <c r="C29" s="55" t="n">
        <f>Requisitos!E30</f>
        <v>0</v>
      </c>
      <c r="D29" s="55" t="str">
        <f>IF(ISBLANK(Requisitos!O30),"",Requisitos!O30)</f>
        <v/>
      </c>
      <c r="E29" s="55" t="n">
        <f>Requisitos!P30</f>
        <v>0</v>
      </c>
      <c r="F29" s="109" t="str">
        <f>IF(OR(Requisitos!N30="Pendente de diligência limitada",Requisitos!N30="Inaplicabilidade não resolvida"),"PENDENTE",IF(AND(B29&lt;&gt;"",OR(LEN(TRIM(Requisitos!K30&amp;""))=0,LEN(TRIM(Requisitos!L30&amp;""))=0,LEN(TRIM(Requisitos!M30&amp;""))=0,LEN(TRIM(Requisitos!Q30&amp;""))=0)),"PENDENTE",IF(AND(LEN(D29&amp;"")&gt;0,NOT(ISNUMBER(D29))),"INCONSISTENTE",IF(AND(ISNUMBER(D29),OR(D29&lt;0,D29&gt;C29)),"INCONSISTENTE",IF(OR(B29="",B29="Atende mediante configuração ou parametrização",B29="Atende mediante integração",B29="Depende de diligência ou comprovação complementar",B29="Depende de PoC ou validação técnica"),IF(AND(ISNUMBER(D29),D29&gt;0),"INCONSISTENTE","PENDENTE"),IF(B29="Atende integralmente",IF(C29=0,"OK",IF(NOT(ISNUMBER(D29)),"PENDENTE",IF(D29=C29,"OK","INCONSISTENTE"))),IF(OR(B29="Atende parcialmente",B29="Não atende"),IF(OR(NOT(ISNUMBER(D29)),D29=0),"OK","INCONSISTENTE"),"INCONSISTENTE")))))))</f>
        <v>PENDENTE</v>
      </c>
      <c r="G29" s="55" t="inlineStr">
        <is>
          <t>Integral: pontuação igual ao peso. Parcial/não atende: zero quando não houver gradação expressa. Concluir a verificação; não presumir atendimento.</t>
        </is>
      </c>
      <c r="H29" s="71" t="n"/>
      <c r="I29" s="71" t="n"/>
    </row>
    <row r="30" ht="82" customHeight="1" s="37">
      <c r="A30" s="55" t="str">
        <f>Requisitos!A31</f>
        <v>RF-E-024</v>
      </c>
      <c r="B30" s="55" t="str">
        <f>IF(Requisitos!J31="","",Requisitos!J31)</f>
        <v/>
      </c>
      <c r="C30" s="55" t="n">
        <f>Requisitos!E31</f>
        <v>0</v>
      </c>
      <c r="D30" s="55" t="str">
        <f>IF(ISBLANK(Requisitos!O31),"",Requisitos!O31)</f>
        <v/>
      </c>
      <c r="E30" s="55" t="n">
        <f>Requisitos!P31</f>
        <v>0</v>
      </c>
      <c r="F30" s="109" t="str">
        <f>IF(OR(Requisitos!N31="Pendente de diligência limitada",Requisitos!N31="Inaplicabilidade não resolvida"),"PENDENTE",IF(AND(B30&lt;&gt;"",OR(LEN(TRIM(Requisitos!K31&amp;""))=0,LEN(TRIM(Requisitos!L31&amp;""))=0,LEN(TRIM(Requisitos!M31&amp;""))=0,LEN(TRIM(Requisitos!Q31&amp;""))=0)),"PENDENTE",IF(AND(LEN(D30&amp;"")&gt;0,NOT(ISNUMBER(D30))),"INCONSISTENTE",IF(AND(ISNUMBER(D30),OR(D30&lt;0,D30&gt;C30)),"INCONSISTENTE",IF(OR(B30="",B30="Atende mediante configuração ou parametrização",B30="Atende mediante integração",B30="Depende de diligência ou comprovação complementar",B30="Depende de PoC ou validação técnica"),IF(AND(ISNUMBER(D30),D30&gt;0),"INCONSISTENTE","PENDENTE"),IF(B30="Atende integralmente",IF(C30=0,"OK",IF(NOT(ISNUMBER(D30)),"PENDENTE",IF(D30=C30,"OK","INCONSISTENTE"))),IF(OR(B30="Atende parcialmente",B30="Não atende"),IF(OR(NOT(ISNUMBER(D30)),D30=0),"OK","INCONSISTENTE"),"INCONSISTENTE")))))))</f>
        <v>PENDENTE</v>
      </c>
      <c r="G30" s="55" t="inlineStr">
        <is>
          <t>Integral: pontuação igual ao peso. Parcial/não atende: zero quando não houver gradação expressa. Concluir a verificação; não presumir atendimento.</t>
        </is>
      </c>
      <c r="H30" s="71" t="n"/>
      <c r="I30" s="71" t="n"/>
    </row>
    <row r="31" ht="82" customHeight="1" s="37">
      <c r="A31" s="55" t="str">
        <f>Requisitos!A32</f>
        <v>RF-E-025</v>
      </c>
      <c r="B31" s="55" t="str">
        <f>IF(Requisitos!J32="","",Requisitos!J32)</f>
        <v/>
      </c>
      <c r="C31" s="55" t="n">
        <f>Requisitos!E32</f>
        <v>0</v>
      </c>
      <c r="D31" s="55" t="str">
        <f>IF(ISBLANK(Requisitos!O32),"",Requisitos!O32)</f>
        <v/>
      </c>
      <c r="E31" s="55" t="n">
        <f>Requisitos!P32</f>
        <v>0</v>
      </c>
      <c r="F31" s="109" t="str">
        <f>IF(OR(Requisitos!N32="Pendente de diligência limitada",Requisitos!N32="Inaplicabilidade não resolvida"),"PENDENTE",IF(AND(B31&lt;&gt;"",OR(LEN(TRIM(Requisitos!K32&amp;""))=0,LEN(TRIM(Requisitos!L32&amp;""))=0,LEN(TRIM(Requisitos!M32&amp;""))=0,LEN(TRIM(Requisitos!Q32&amp;""))=0)),"PENDENTE",IF(AND(LEN(D31&amp;"")&gt;0,NOT(ISNUMBER(D31))),"INCONSISTENTE",IF(AND(ISNUMBER(D31),OR(D31&lt;0,D31&gt;C31)),"INCONSISTENTE",IF(OR(B31="",B31="Atende mediante configuração ou parametrização",B31="Atende mediante integração",B31="Depende de diligência ou comprovação complementar",B31="Depende de PoC ou validação técnica"),IF(AND(ISNUMBER(D31),D31&gt;0),"INCONSISTENTE","PENDENTE"),IF(B31="Atende integralmente",IF(C31=0,"OK",IF(NOT(ISNUMBER(D31)),"PENDENTE",IF(D31=C31,"OK","INCONSISTENTE"))),IF(OR(B31="Atende parcialmente",B31="Não atende"),IF(OR(NOT(ISNUMBER(D31)),D31=0),"OK","INCONSISTENTE"),"INCONSISTENTE")))))))</f>
        <v>PENDENTE</v>
      </c>
      <c r="G31" s="55" t="inlineStr">
        <is>
          <t>Integral: pontuação igual ao peso. Parcial/não atende: zero quando não houver gradação expressa. Concluir a verificação; não presumir atendimento.</t>
        </is>
      </c>
      <c r="H31" s="71" t="n"/>
      <c r="I31" s="71" t="n"/>
    </row>
    <row r="32" ht="82" customHeight="1" s="37">
      <c r="A32" s="55" t="str">
        <f>Requisitos!A33</f>
        <v>RF-E-026</v>
      </c>
      <c r="B32" s="55" t="str">
        <f>IF(Requisitos!J33="","",Requisitos!J33)</f>
        <v/>
      </c>
      <c r="C32" s="55" t="n">
        <f>Requisitos!E33</f>
        <v>0</v>
      </c>
      <c r="D32" s="55" t="str">
        <f>IF(ISBLANK(Requisitos!O33),"",Requisitos!O33)</f>
        <v/>
      </c>
      <c r="E32" s="55" t="n">
        <f>Requisitos!P33</f>
        <v>0</v>
      </c>
      <c r="F32" s="109" t="str">
        <f>IF(OR(Requisitos!N33="Pendente de diligência limitada",Requisitos!N33="Inaplicabilidade não resolvida"),"PENDENTE",IF(AND(B32&lt;&gt;"",OR(LEN(TRIM(Requisitos!K33&amp;""))=0,LEN(TRIM(Requisitos!L33&amp;""))=0,LEN(TRIM(Requisitos!M33&amp;""))=0,LEN(TRIM(Requisitos!Q33&amp;""))=0)),"PENDENTE",IF(AND(LEN(D32&amp;"")&gt;0,NOT(ISNUMBER(D32))),"INCONSISTENTE",IF(AND(ISNUMBER(D32),OR(D32&lt;0,D32&gt;C32)),"INCONSISTENTE",IF(OR(B32="",B32="Atende mediante configuração ou parametrização",B32="Atende mediante integração",B32="Depende de diligência ou comprovação complementar",B32="Depende de PoC ou validação técnica"),IF(AND(ISNUMBER(D32),D32&gt;0),"INCONSISTENTE","PENDENTE"),IF(B32="Atende integralmente",IF(C32=0,"OK",IF(NOT(ISNUMBER(D32)),"PENDENTE",IF(D32=C32,"OK","INCONSISTENTE"))),IF(OR(B32="Atende parcialmente",B32="Não atende"),IF(OR(NOT(ISNUMBER(D32)),D32=0),"OK","INCONSISTENTE"),"INCONSISTENTE")))))))</f>
        <v>PENDENTE</v>
      </c>
      <c r="G32" s="55" t="inlineStr">
        <is>
          <t>Integral: pontuação igual ao peso. Parcial/não atende: zero quando não houver gradação expressa. Concluir a verificação; não presumir atendimento.</t>
        </is>
      </c>
      <c r="H32" s="71" t="n"/>
      <c r="I32" s="71" t="n"/>
    </row>
    <row r="33" ht="82" customHeight="1" s="37">
      <c r="A33" s="55" t="str">
        <f>Requisitos!A34</f>
        <v>RF-E-027</v>
      </c>
      <c r="B33" s="55" t="str">
        <f>IF(Requisitos!J34="","",Requisitos!J34)</f>
        <v/>
      </c>
      <c r="C33" s="55" t="n">
        <f>Requisitos!E34</f>
        <v>0</v>
      </c>
      <c r="D33" s="55" t="str">
        <f>IF(ISBLANK(Requisitos!O34),"",Requisitos!O34)</f>
        <v/>
      </c>
      <c r="E33" s="55" t="n">
        <f>Requisitos!P34</f>
        <v>0</v>
      </c>
      <c r="F33" s="109" t="str">
        <f>IF(OR(Requisitos!N34="Pendente de diligência limitada",Requisitos!N34="Inaplicabilidade não resolvida"),"PENDENTE",IF(AND(B33&lt;&gt;"",OR(LEN(TRIM(Requisitos!K34&amp;""))=0,LEN(TRIM(Requisitos!L34&amp;""))=0,LEN(TRIM(Requisitos!M34&amp;""))=0,LEN(TRIM(Requisitos!Q34&amp;""))=0)),"PENDENTE",IF(AND(LEN(D33&amp;"")&gt;0,NOT(ISNUMBER(D33))),"INCONSISTENTE",IF(AND(ISNUMBER(D33),OR(D33&lt;0,D33&gt;C33)),"INCONSISTENTE",IF(OR(B33="",B33="Atende mediante configuração ou parametrização",B33="Atende mediante integração",B33="Depende de diligência ou comprovação complementar",B33="Depende de PoC ou validação técnica"),IF(AND(ISNUMBER(D33),D33&gt;0),"INCONSISTENTE","PENDENTE"),IF(B33="Atende integralmente",IF(C33=0,"OK",IF(NOT(ISNUMBER(D33)),"PENDENTE",IF(D33=C33,"OK","INCONSISTENTE"))),IF(OR(B33="Atende parcialmente",B33="Não atende"),IF(OR(NOT(ISNUMBER(D33)),D33=0),"OK","INCONSISTENTE"),"INCONSISTENTE")))))))</f>
        <v>PENDENTE</v>
      </c>
      <c r="G33" s="55" t="inlineStr">
        <is>
          <t>Integral: pontuação igual ao peso. Parcial/não atende: zero quando não houver gradação expressa. Concluir a verificação; não presumir atendimento.</t>
        </is>
      </c>
      <c r="H33" s="71" t="n"/>
      <c r="I33" s="71" t="n"/>
    </row>
    <row r="34" ht="82" customHeight="1" s="37">
      <c r="A34" s="55" t="str">
        <f>Requisitos!A35</f>
        <v>RF-C-028</v>
      </c>
      <c r="B34" s="55" t="str">
        <f>IF(Requisitos!J35="","",Requisitos!J35)</f>
        <v/>
      </c>
      <c r="C34" s="55" t="n">
        <f>Requisitos!E35</f>
        <v>0</v>
      </c>
      <c r="D34" s="55" t="str">
        <f>IF(ISBLANK(Requisitos!O35),"",Requisitos!O35)</f>
        <v/>
      </c>
      <c r="E34" s="55" t="n">
        <f>Requisitos!P35</f>
        <v>0</v>
      </c>
      <c r="F34" s="55" t="str">
        <f>"FORA DA PONTUAÇÃO"</f>
        <v>FORA DA PONTUAÇÃO</v>
      </c>
      <c r="G34" s="55" t="inlineStr">
        <is>
          <t>Linha complementar ou suprimida. Sem efeito sobre nota, pendência ou eliminação.</t>
        </is>
      </c>
      <c r="H34" s="71" t="n"/>
      <c r="I34" s="71" t="n"/>
    </row>
    <row r="35" ht="82" customHeight="1" s="37">
      <c r="A35" s="55" t="str">
        <f>Requisitos!A36</f>
        <v>RF-E-029</v>
      </c>
      <c r="B35" s="55" t="str">
        <f>IF(Requisitos!J36="","",Requisitos!J36)</f>
        <v/>
      </c>
      <c r="C35" s="55" t="n">
        <f>Requisitos!E36</f>
        <v>0</v>
      </c>
      <c r="D35" s="55" t="str">
        <f>IF(ISBLANK(Requisitos!O36),"",Requisitos!O36)</f>
        <v/>
      </c>
      <c r="E35" s="55" t="n">
        <f>Requisitos!P36</f>
        <v>0</v>
      </c>
      <c r="F35" s="109" t="str">
        <f>IF(OR(Requisitos!N36="Pendente de diligência limitada",Requisitos!N36="Inaplicabilidade não resolvida"),"PENDENTE",IF(AND(B35&lt;&gt;"",OR(LEN(TRIM(Requisitos!K36&amp;""))=0,LEN(TRIM(Requisitos!L36&amp;""))=0,LEN(TRIM(Requisitos!M36&amp;""))=0,LEN(TRIM(Requisitos!Q36&amp;""))=0)),"PENDENTE",IF(AND(LEN(D35&amp;"")&gt;0,NOT(ISNUMBER(D35))),"INCONSISTENTE",IF(AND(ISNUMBER(D35),OR(D35&lt;0,D35&gt;C35)),"INCONSISTENTE",IF(OR(B35="",B35="Atende mediante configuração ou parametrização",B35="Atende mediante integração",B35="Depende de diligência ou comprovação complementar",B35="Depende de PoC ou validação técnica"),IF(AND(ISNUMBER(D35),D35&gt;0),"INCONSISTENTE","PENDENTE"),IF(B35="Atende integralmente",IF(C35=0,"OK",IF(NOT(ISNUMBER(D35)),"PENDENTE",IF(D35=C35,"OK","INCONSISTENTE"))),IF(OR(B35="Atende parcialmente",B35="Não atende"),IF(OR(NOT(ISNUMBER(D35)),D35=0),"OK","INCONSISTENTE"),"INCONSISTENTE")))))))</f>
        <v>PENDENTE</v>
      </c>
      <c r="G35" s="55" t="inlineStr">
        <is>
          <t>Integral: pontuação igual ao peso. Parcial/não atende: zero quando não houver gradação expressa. Concluir a verificação; não presumir atendimento.</t>
        </is>
      </c>
      <c r="H35" s="71" t="n"/>
      <c r="I35" s="71" t="n"/>
    </row>
    <row r="36" ht="82" customHeight="1" s="37">
      <c r="A36" s="55" t="str">
        <f>Requisitos!A37</f>
        <v>RF-E-030</v>
      </c>
      <c r="B36" s="55" t="str">
        <f>IF(Requisitos!J37="","",Requisitos!J37)</f>
        <v/>
      </c>
      <c r="C36" s="55" t="n">
        <f>Requisitos!E37</f>
        <v>0</v>
      </c>
      <c r="D36" s="55" t="str">
        <f>IF(ISBLANK(Requisitos!O37),"",Requisitos!O37)</f>
        <v/>
      </c>
      <c r="E36" s="55" t="n">
        <f>Requisitos!P37</f>
        <v>0</v>
      </c>
      <c r="F36" s="109" t="str">
        <f>IF(OR(Requisitos!N37="Pendente de diligência limitada",Requisitos!N37="Inaplicabilidade não resolvida"),"PENDENTE",IF(AND(B36&lt;&gt;"",OR(LEN(TRIM(Requisitos!K37&amp;""))=0,LEN(TRIM(Requisitos!L37&amp;""))=0,LEN(TRIM(Requisitos!M37&amp;""))=0,LEN(TRIM(Requisitos!Q37&amp;""))=0)),"PENDENTE",IF(AND(LEN(D36&amp;"")&gt;0,NOT(ISNUMBER(D36))),"INCONSISTENTE",IF(AND(ISNUMBER(D36),OR(D36&lt;0,D36&gt;C36)),"INCONSISTENTE",IF(OR(B36="",B36="Atende mediante configuração ou parametrização",B36="Atende mediante integração",B36="Depende de diligência ou comprovação complementar",B36="Depende de PoC ou validação técnica"),IF(AND(ISNUMBER(D36),D36&gt;0),"INCONSISTENTE","PENDENTE"),IF(B36="Atende integralmente",IF(C36=0,"OK",IF(NOT(ISNUMBER(D36)),"PENDENTE",IF(D36=C36,"OK","INCONSISTENTE"))),IF(OR(B36="Atende parcialmente",B36="Não atende"),IF(OR(NOT(ISNUMBER(D36)),D36=0),"OK","INCONSISTENTE"),"INCONSISTENTE")))))))</f>
        <v>PENDENTE</v>
      </c>
      <c r="G36" s="55" t="inlineStr">
        <is>
          <t>Integral: pontuação igual ao peso. Parcial/não atende: zero quando não houver gradação expressa. Concluir a verificação; não presumir atendimento.</t>
        </is>
      </c>
      <c r="H36" s="71" t="n"/>
      <c r="I36" s="71" t="n"/>
    </row>
    <row r="37" ht="82" customHeight="1" s="37">
      <c r="A37" s="55" t="str">
        <f>Requisitos!A38</f>
        <v>RF-E-031</v>
      </c>
      <c r="B37" s="55" t="str">
        <f>IF(Requisitos!J38="","",Requisitos!J38)</f>
        <v/>
      </c>
      <c r="C37" s="55" t="n">
        <f>Requisitos!E38</f>
        <v>0</v>
      </c>
      <c r="D37" s="55" t="str">
        <f>IF(ISBLANK(Requisitos!O38),"",Requisitos!O38)</f>
        <v/>
      </c>
      <c r="E37" s="55" t="n">
        <f>Requisitos!P38</f>
        <v>0</v>
      </c>
      <c r="F37" s="109" t="str">
        <f>IF(OR(Requisitos!N38="Pendente de diligência limitada",Requisitos!N38="Inaplicabilidade não resolvida"),"PENDENTE",IF(AND(B37&lt;&gt;"",OR(LEN(TRIM(Requisitos!K38&amp;""))=0,LEN(TRIM(Requisitos!L38&amp;""))=0,LEN(TRIM(Requisitos!M38&amp;""))=0,LEN(TRIM(Requisitos!Q38&amp;""))=0)),"PENDENTE",IF(AND(LEN(D37&amp;"")&gt;0,NOT(ISNUMBER(D37))),"INCONSISTENTE",IF(AND(ISNUMBER(D37),OR(D37&lt;0,D37&gt;C37)),"INCONSISTENTE",IF(OR(B37="",B37="Atende mediante configuração ou parametrização",B37="Atende mediante integração",B37="Depende de diligência ou comprovação complementar",B37="Depende de PoC ou validação técnica"),IF(AND(ISNUMBER(D37),D37&gt;0),"INCONSISTENTE","PENDENTE"),IF(B37="Atende integralmente",IF(C37=0,"OK",IF(NOT(ISNUMBER(D37)),"PENDENTE",IF(D37=C37,"OK","INCONSISTENTE"))),IF(OR(B37="Atende parcialmente",B37="Não atende"),IF(OR(NOT(ISNUMBER(D37)),D37=0),"OK","INCONSISTENTE"),"INCONSISTENTE")))))))</f>
        <v>PENDENTE</v>
      </c>
      <c r="G37" s="55" t="inlineStr">
        <is>
          <t>Integral: pontuação igual ao peso. Parcial/não atende: zero quando não houver gradação expressa. Concluir a verificação; não presumir atendimento.</t>
        </is>
      </c>
      <c r="H37" s="71" t="n"/>
      <c r="I37" s="71" t="n"/>
    </row>
    <row r="38" ht="82" customHeight="1" s="37">
      <c r="A38" s="55" t="str">
        <f>Requisitos!A39</f>
        <v>RF-E-032</v>
      </c>
      <c r="B38" s="55" t="str">
        <f>IF(Requisitos!J39="","",Requisitos!J39)</f>
        <v/>
      </c>
      <c r="C38" s="55" t="n">
        <f>Requisitos!E39</f>
        <v>0</v>
      </c>
      <c r="D38" s="55" t="str">
        <f>IF(ISBLANK(Requisitos!O39),"",Requisitos!O39)</f>
        <v/>
      </c>
      <c r="E38" s="55" t="n">
        <f>Requisitos!P39</f>
        <v>0</v>
      </c>
      <c r="F38" s="109" t="str">
        <f>IF(OR(Requisitos!N39="Pendente de diligência limitada",Requisitos!N39="Inaplicabilidade não resolvida"),"PENDENTE",IF(AND(B38&lt;&gt;"",OR(LEN(TRIM(Requisitos!K39&amp;""))=0,LEN(TRIM(Requisitos!L39&amp;""))=0,LEN(TRIM(Requisitos!M39&amp;""))=0,LEN(TRIM(Requisitos!Q39&amp;""))=0)),"PENDENTE",IF(AND(LEN(D38&amp;"")&gt;0,NOT(ISNUMBER(D38))),"INCONSISTENTE",IF(AND(ISNUMBER(D38),OR(D38&lt;0,D38&gt;C38)),"INCONSISTENTE",IF(OR(B38="",B38="Atende mediante configuração ou parametrização",B38="Atende mediante integração",B38="Depende de diligência ou comprovação complementar",B38="Depende de PoC ou validação técnica"),IF(AND(ISNUMBER(D38),D38&gt;0),"INCONSISTENTE","PENDENTE"),IF(B38="Atende integralmente",IF(C38=0,"OK",IF(NOT(ISNUMBER(D38)),"PENDENTE",IF(D38=C38,"OK","INCONSISTENTE"))),IF(OR(B38="Atende parcialmente",B38="Não atende"),IF(OR(NOT(ISNUMBER(D38)),D38=0),"OK","INCONSISTENTE"),"INCONSISTENTE")))))))</f>
        <v>PENDENTE</v>
      </c>
      <c r="G38" s="55" t="inlineStr">
        <is>
          <t>Integral: pontuação igual ao peso. Parcial/não atende: zero quando não houver gradação expressa. Concluir a verificação; não presumir atendimento.</t>
        </is>
      </c>
      <c r="H38" s="71" t="n"/>
      <c r="I38" s="71" t="n"/>
    </row>
    <row r="39" ht="82" customHeight="1" s="37">
      <c r="A39" s="55" t="str">
        <f>Requisitos!A40</f>
        <v>RF-E-033</v>
      </c>
      <c r="B39" s="55" t="str">
        <f>IF(Requisitos!J40="","",Requisitos!J40)</f>
        <v/>
      </c>
      <c r="C39" s="55" t="n">
        <f>Requisitos!E40</f>
        <v>0</v>
      </c>
      <c r="D39" s="55" t="str">
        <f>IF(ISBLANK(Requisitos!O40),"",Requisitos!O40)</f>
        <v/>
      </c>
      <c r="E39" s="55" t="n">
        <f>Requisitos!P40</f>
        <v>0</v>
      </c>
      <c r="F39" s="109" t="str">
        <f>IF(OR(Requisitos!N40="Pendente de diligência limitada",Requisitos!N40="Inaplicabilidade não resolvida"),"PENDENTE",IF(AND(B39&lt;&gt;"",OR(LEN(TRIM(Requisitos!K40&amp;""))=0,LEN(TRIM(Requisitos!L40&amp;""))=0,LEN(TRIM(Requisitos!M40&amp;""))=0,LEN(TRIM(Requisitos!Q40&amp;""))=0)),"PENDENTE",IF(AND(LEN(D39&amp;"")&gt;0,NOT(ISNUMBER(D39))),"INCONSISTENTE",IF(AND(ISNUMBER(D39),OR(D39&lt;0,D39&gt;C39)),"INCONSISTENTE",IF(OR(B39="",B39="Atende mediante configuração ou parametrização",B39="Atende mediante integração",B39="Depende de diligência ou comprovação complementar",B39="Depende de PoC ou validação técnica"),IF(AND(ISNUMBER(D39),D39&gt;0),"INCONSISTENTE","PENDENTE"),IF(B39="Atende integralmente",IF(C39=0,"OK",IF(NOT(ISNUMBER(D39)),"PENDENTE",IF(D39=C39,"OK","INCONSISTENTE"))),IF(OR(B39="Atende parcialmente",B39="Não atende"),IF(OR(NOT(ISNUMBER(D39)),D39=0),"OK","INCONSISTENTE"),"INCONSISTENTE")))))))</f>
        <v>PENDENTE</v>
      </c>
      <c r="G39" s="55" t="inlineStr">
        <is>
          <t>Integral: pontuação igual ao peso. Parcial/não atende: zero quando não houver gradação expressa. Concluir a verificação; não presumir atendimento.</t>
        </is>
      </c>
      <c r="H39" s="71" t="n"/>
      <c r="I39" s="71" t="n"/>
    </row>
    <row r="40" ht="82" customHeight="1" s="37">
      <c r="A40" s="55" t="str">
        <f>Requisitos!A41</f>
        <v>RF-E-034</v>
      </c>
      <c r="B40" s="55" t="str">
        <f>IF(Requisitos!J41="","",Requisitos!J41)</f>
        <v/>
      </c>
      <c r="C40" s="55" t="n">
        <f>Requisitos!E41</f>
        <v>0</v>
      </c>
      <c r="D40" s="55" t="str">
        <f>IF(ISBLANK(Requisitos!O41),"",Requisitos!O41)</f>
        <v/>
      </c>
      <c r="E40" s="55" t="n">
        <f>Requisitos!P41</f>
        <v>0</v>
      </c>
      <c r="F40" s="109" t="str">
        <f>IF(OR(Requisitos!N41="Pendente de diligência limitada",Requisitos!N41="Inaplicabilidade não resolvida"),"PENDENTE",IF(AND(B40&lt;&gt;"",OR(LEN(TRIM(Requisitos!K41&amp;""))=0,LEN(TRIM(Requisitos!L41&amp;""))=0,LEN(TRIM(Requisitos!M41&amp;""))=0,LEN(TRIM(Requisitos!Q41&amp;""))=0)),"PENDENTE",IF(AND(LEN(D40&amp;"")&gt;0,NOT(ISNUMBER(D40))),"INCONSISTENTE",IF(AND(ISNUMBER(D40),OR(D40&lt;0,D40&gt;C40)),"INCONSISTENTE",IF(OR(B40="",B40="Atende mediante configuração ou parametrização",B40="Atende mediante integração",B40="Depende de diligência ou comprovação complementar",B40="Depende de PoC ou validação técnica"),IF(AND(ISNUMBER(D40),D40&gt;0),"INCONSISTENTE","PENDENTE"),IF(B40="Atende integralmente",IF(C40=0,"OK",IF(NOT(ISNUMBER(D40)),"PENDENTE",IF(D40=C40,"OK","INCONSISTENTE"))),IF(OR(B40="Atende parcialmente",B40="Não atende"),IF(OR(NOT(ISNUMBER(D40)),D40=0),"OK","INCONSISTENTE"),"INCONSISTENTE")))))))</f>
        <v>PENDENTE</v>
      </c>
      <c r="G40" s="55" t="inlineStr">
        <is>
          <t>Integral: pontuação igual ao peso. Parcial/não atende: zero quando não houver gradação expressa. Concluir a verificação; não presumir atendimento.</t>
        </is>
      </c>
      <c r="H40" s="71" t="n"/>
      <c r="I40" s="71" t="n"/>
    </row>
    <row r="41" ht="82" customHeight="1" s="37">
      <c r="A41" s="55" t="str">
        <f>Requisitos!A42</f>
        <v>RF-E-035</v>
      </c>
      <c r="B41" s="55" t="str">
        <f>IF(Requisitos!J42="","",Requisitos!J42)</f>
        <v/>
      </c>
      <c r="C41" s="55" t="n">
        <f>Requisitos!E42</f>
        <v>0</v>
      </c>
      <c r="D41" s="55" t="str">
        <f>IF(ISBLANK(Requisitos!O42),"",Requisitos!O42)</f>
        <v/>
      </c>
      <c r="E41" s="55" t="n">
        <f>Requisitos!P42</f>
        <v>0</v>
      </c>
      <c r="F41" s="109" t="str">
        <f>IF(OR(Requisitos!N42="Pendente de diligência limitada",Requisitos!N42="Inaplicabilidade não resolvida"),"PENDENTE",IF(AND(B41&lt;&gt;"",OR(LEN(TRIM(Requisitos!K42&amp;""))=0,LEN(TRIM(Requisitos!L42&amp;""))=0,LEN(TRIM(Requisitos!M42&amp;""))=0,LEN(TRIM(Requisitos!Q42&amp;""))=0)),"PENDENTE",IF(AND(LEN(D41&amp;"")&gt;0,NOT(ISNUMBER(D41))),"INCONSISTENTE",IF(AND(ISNUMBER(D41),OR(D41&lt;0,D41&gt;C41)),"INCONSISTENTE",IF(OR(B41="",B41="Atende mediante configuração ou parametrização",B41="Atende mediante integração",B41="Depende de diligência ou comprovação complementar",B41="Depende de PoC ou validação técnica"),IF(AND(ISNUMBER(D41),D41&gt;0),"INCONSISTENTE","PENDENTE"),IF(B41="Atende integralmente",IF(C41=0,"OK",IF(NOT(ISNUMBER(D41)),"PENDENTE",IF(D41=C41,"OK","INCONSISTENTE"))),IF(OR(B41="Atende parcialmente",B41="Não atende"),IF(OR(NOT(ISNUMBER(D41)),D41=0),"OK","INCONSISTENTE"),"INCONSISTENTE")))))))</f>
        <v>PENDENTE</v>
      </c>
      <c r="G41" s="55" t="inlineStr">
        <is>
          <t>Integral: pontuação igual ao peso. Parcial/não atende: zero quando não houver gradação expressa. Concluir a verificação; não presumir atendimento.</t>
        </is>
      </c>
      <c r="H41" s="71" t="n"/>
      <c r="I41" s="71" t="n"/>
    </row>
    <row r="42" ht="82" customHeight="1" s="37">
      <c r="A42" s="55" t="str">
        <f>Requisitos!A43</f>
        <v>RF-E-036</v>
      </c>
      <c r="B42" s="55" t="str">
        <f>IF(Requisitos!J43="","",Requisitos!J43)</f>
        <v/>
      </c>
      <c r="C42" s="55" t="n">
        <f>Requisitos!E43</f>
        <v>0</v>
      </c>
      <c r="D42" s="55" t="str">
        <f>IF(ISBLANK(Requisitos!O43),"",Requisitos!O43)</f>
        <v/>
      </c>
      <c r="E42" s="55" t="n">
        <f>Requisitos!P43</f>
        <v>0</v>
      </c>
      <c r="F42" s="109" t="str">
        <f>IF(OR(Requisitos!N43="Pendente de diligência limitada",Requisitos!N43="Inaplicabilidade não resolvida"),"PENDENTE",IF(AND(B42&lt;&gt;"",OR(LEN(TRIM(Requisitos!K43&amp;""))=0,LEN(TRIM(Requisitos!L43&amp;""))=0,LEN(TRIM(Requisitos!M43&amp;""))=0,LEN(TRIM(Requisitos!Q43&amp;""))=0)),"PENDENTE",IF(AND(LEN(D42&amp;"")&gt;0,NOT(ISNUMBER(D42))),"INCONSISTENTE",IF(AND(ISNUMBER(D42),OR(D42&lt;0,D42&gt;C42)),"INCONSISTENTE",IF(OR(B42="",B42="Atende mediante configuração ou parametrização",B42="Atende mediante integração",B42="Depende de diligência ou comprovação complementar",B42="Depende de PoC ou validação técnica"),IF(AND(ISNUMBER(D42),D42&gt;0),"INCONSISTENTE","PENDENTE"),IF(B42="Atende integralmente",IF(C42=0,"OK",IF(NOT(ISNUMBER(D42)),"PENDENTE",IF(D42=C42,"OK","INCONSISTENTE"))),IF(OR(B42="Atende parcialmente",B42="Não atende"),IF(OR(NOT(ISNUMBER(D42)),D42=0),"OK","INCONSISTENTE"),"INCONSISTENTE")))))))</f>
        <v>PENDENTE</v>
      </c>
      <c r="G42" s="55" t="inlineStr">
        <is>
          <t>Integral: pontuação igual ao peso. Parcial/não atende: zero quando não houver gradação expressa. Concluir a verificação; não presumir atendimento.</t>
        </is>
      </c>
      <c r="H42" s="71" t="n"/>
      <c r="I42" s="71" t="n"/>
    </row>
    <row r="43" ht="82" customHeight="1" s="37">
      <c r="A43" s="55" t="str">
        <f>Requisitos!A44</f>
        <v>RF-E-037</v>
      </c>
      <c r="B43" s="55" t="str">
        <f>IF(Requisitos!J44="","",Requisitos!J44)</f>
        <v/>
      </c>
      <c r="C43" s="55" t="n">
        <f>Requisitos!E44</f>
        <v>0</v>
      </c>
      <c r="D43" s="55" t="str">
        <f>IF(ISBLANK(Requisitos!O44),"",Requisitos!O44)</f>
        <v/>
      </c>
      <c r="E43" s="55" t="n">
        <f>Requisitos!P44</f>
        <v>0</v>
      </c>
      <c r="F43" s="109" t="str">
        <f>IF(OR(Requisitos!N44="Pendente de diligência limitada",Requisitos!N44="Inaplicabilidade não resolvida"),"PENDENTE",IF(AND(B43&lt;&gt;"",OR(LEN(TRIM(Requisitos!K44&amp;""))=0,LEN(TRIM(Requisitos!L44&amp;""))=0,LEN(TRIM(Requisitos!M44&amp;""))=0,LEN(TRIM(Requisitos!Q44&amp;""))=0)),"PENDENTE",IF(AND(LEN(D43&amp;"")&gt;0,NOT(ISNUMBER(D43))),"INCONSISTENTE",IF(AND(ISNUMBER(D43),OR(D43&lt;0,D43&gt;C43)),"INCONSISTENTE",IF(OR(B43="",B43="Atende mediante configuração ou parametrização",B43="Atende mediante integração",B43="Depende de diligência ou comprovação complementar",B43="Depende de PoC ou validação técnica"),IF(AND(ISNUMBER(D43),D43&gt;0),"INCONSISTENTE","PENDENTE"),IF(B43="Atende integralmente",IF(C43=0,"OK",IF(NOT(ISNUMBER(D43)),"PENDENTE",IF(D43=C43,"OK","INCONSISTENTE"))),IF(OR(B43="Atende parcialmente",B43="Não atende"),IF(OR(NOT(ISNUMBER(D43)),D43=0),"OK","INCONSISTENTE"),"INCONSISTENTE")))))))</f>
        <v>PENDENTE</v>
      </c>
      <c r="G43" s="55" t="inlineStr">
        <is>
          <t>Integral: pontuação igual ao peso. Parcial/não atende: zero quando não houver gradação expressa. Concluir a verificação; não presumir atendimento.</t>
        </is>
      </c>
      <c r="H43" s="71" t="n"/>
      <c r="I43" s="71" t="n"/>
    </row>
    <row r="44" ht="82" customHeight="1" s="37">
      <c r="A44" s="55" t="str">
        <f>Requisitos!A45</f>
        <v>RF-E-038</v>
      </c>
      <c r="B44" s="55" t="str">
        <f>IF(Requisitos!J45="","",Requisitos!J45)</f>
        <v/>
      </c>
      <c r="C44" s="55" t="n">
        <f>Requisitos!E45</f>
        <v>0</v>
      </c>
      <c r="D44" s="55" t="str">
        <f>IF(ISBLANK(Requisitos!O45),"",Requisitos!O45)</f>
        <v/>
      </c>
      <c r="E44" s="55" t="n">
        <f>Requisitos!P45</f>
        <v>0</v>
      </c>
      <c r="F44" s="109" t="str">
        <f>IF(OR(Requisitos!N45="Pendente de diligência limitada",Requisitos!N45="Inaplicabilidade não resolvida"),"PENDENTE",IF(AND(B44&lt;&gt;"",OR(LEN(TRIM(Requisitos!K45&amp;""))=0,LEN(TRIM(Requisitos!L45&amp;""))=0,LEN(TRIM(Requisitos!M45&amp;""))=0,LEN(TRIM(Requisitos!Q45&amp;""))=0)),"PENDENTE",IF(AND(LEN(D44&amp;"")&gt;0,NOT(ISNUMBER(D44))),"INCONSISTENTE",IF(AND(ISNUMBER(D44),OR(D44&lt;0,D44&gt;C44)),"INCONSISTENTE",IF(OR(B44="",B44="Atende mediante configuração ou parametrização",B44="Atende mediante integração",B44="Depende de diligência ou comprovação complementar",B44="Depende de PoC ou validação técnica"),IF(AND(ISNUMBER(D44),D44&gt;0),"INCONSISTENTE","PENDENTE"),IF(B44="Atende integralmente",IF(C44=0,"OK",IF(NOT(ISNUMBER(D44)),"PENDENTE",IF(D44=C44,"OK","INCONSISTENTE"))),IF(OR(B44="Atende parcialmente",B44="Não atende"),IF(OR(NOT(ISNUMBER(D44)),D44=0),"OK","INCONSISTENTE"),"INCONSISTENTE")))))))</f>
        <v>PENDENTE</v>
      </c>
      <c r="G44" s="55" t="inlineStr">
        <is>
          <t>Integral: pontuação igual ao peso. Parcial/não atende: zero quando não houver gradação expressa. Concluir a verificação; não presumir atendimento.</t>
        </is>
      </c>
      <c r="H44" s="71" t="n"/>
      <c r="I44" s="71" t="n"/>
    </row>
    <row r="45" ht="82" customHeight="1" s="37">
      <c r="A45" s="55" t="str">
        <f>Requisitos!A46</f>
        <v>RF-E-039</v>
      </c>
      <c r="B45" s="55" t="str">
        <f>IF(Requisitos!J46="","",Requisitos!J46)</f>
        <v/>
      </c>
      <c r="C45" s="55" t="n">
        <f>Requisitos!E46</f>
        <v>0</v>
      </c>
      <c r="D45" s="55" t="str">
        <f>IF(ISBLANK(Requisitos!O46),"",Requisitos!O46)</f>
        <v/>
      </c>
      <c r="E45" s="55" t="n">
        <f>Requisitos!P46</f>
        <v>0</v>
      </c>
      <c r="F45" s="109" t="str">
        <f>IF(OR(Requisitos!N46="Pendente de diligência limitada",Requisitos!N46="Inaplicabilidade não resolvida"),"PENDENTE",IF(AND(B45&lt;&gt;"",OR(LEN(TRIM(Requisitos!K46&amp;""))=0,LEN(TRIM(Requisitos!L46&amp;""))=0,LEN(TRIM(Requisitos!M46&amp;""))=0,LEN(TRIM(Requisitos!Q46&amp;""))=0)),"PENDENTE",IF(AND(LEN(D45&amp;"")&gt;0,NOT(ISNUMBER(D45))),"INCONSISTENTE",IF(AND(ISNUMBER(D45),OR(D45&lt;0,D45&gt;C45)),"INCONSISTENTE",IF(OR(B45="",B45="Atende mediante configuração ou parametrização",B45="Atende mediante integração",B45="Depende de diligência ou comprovação complementar",B45="Depende de PoC ou validação técnica"),IF(AND(ISNUMBER(D45),D45&gt;0),"INCONSISTENTE","PENDENTE"),IF(B45="Atende integralmente",IF(C45=0,"OK",IF(NOT(ISNUMBER(D45)),"PENDENTE",IF(D45=C45,"OK","INCONSISTENTE"))),IF(OR(B45="Atende parcialmente",B45="Não atende"),IF(OR(NOT(ISNUMBER(D45)),D45=0),"OK","INCONSISTENTE"),"INCONSISTENTE")))))))</f>
        <v>PENDENTE</v>
      </c>
      <c r="G45" s="55" t="inlineStr">
        <is>
          <t>Integral: pontuação igual ao peso. Parcial/não atende: zero quando não houver gradação expressa. Concluir a verificação; não presumir atendimento.</t>
        </is>
      </c>
      <c r="H45" s="71" t="n"/>
      <c r="I45" s="71" t="n"/>
    </row>
    <row r="46" ht="82" customHeight="1" s="37">
      <c r="A46" s="55" t="str">
        <f>Requisitos!A47</f>
        <v>RF-E-040</v>
      </c>
      <c r="B46" s="55" t="str">
        <f>IF(Requisitos!J47="","",Requisitos!J47)</f>
        <v/>
      </c>
      <c r="C46" s="55" t="n">
        <f>Requisitos!E47</f>
        <v>0</v>
      </c>
      <c r="D46" s="55" t="str">
        <f>IF(ISBLANK(Requisitos!O47),"",Requisitos!O47)</f>
        <v/>
      </c>
      <c r="E46" s="55" t="n">
        <f>Requisitos!P47</f>
        <v>0</v>
      </c>
      <c r="F46" s="109" t="str">
        <f>IF(OR(Requisitos!N47="Pendente de diligência limitada",Requisitos!N47="Inaplicabilidade não resolvida"),"PENDENTE",IF(AND(B46&lt;&gt;"",OR(LEN(TRIM(Requisitos!K47&amp;""))=0,LEN(TRIM(Requisitos!L47&amp;""))=0,LEN(TRIM(Requisitos!M47&amp;""))=0,LEN(TRIM(Requisitos!Q47&amp;""))=0)),"PENDENTE",IF(AND(LEN(D46&amp;"")&gt;0,NOT(ISNUMBER(D46))),"INCONSISTENTE",IF(AND(ISNUMBER(D46),OR(D46&lt;0,D46&gt;C46)),"INCONSISTENTE",IF(OR(B46="",B46="Atende mediante configuração ou parametrização",B46="Atende mediante integração",B46="Depende de diligência ou comprovação complementar",B46="Depende de PoC ou validação técnica"),IF(AND(ISNUMBER(D46),D46&gt;0),"INCONSISTENTE","PENDENTE"),IF(B46="Atende integralmente",IF(C46=0,"OK",IF(NOT(ISNUMBER(D46)),"PENDENTE",IF(D46=C46,"OK","INCONSISTENTE"))),IF(OR(B46="Atende parcialmente",B46="Não atende"),IF(OR(NOT(ISNUMBER(D46)),D46=0),"OK","INCONSISTENTE"),"INCONSISTENTE")))))))</f>
        <v>PENDENTE</v>
      </c>
      <c r="G46" s="55" t="inlineStr">
        <is>
          <t>Integral: pontuação igual ao peso. Parcial/não atende: zero quando não houver gradação expressa. Concluir a verificação; não presumir atendimento.</t>
        </is>
      </c>
      <c r="H46" s="71" t="n"/>
      <c r="I46" s="71" t="n"/>
    </row>
    <row r="47" ht="82" customHeight="1" s="37">
      <c r="A47" s="55" t="str">
        <f>Requisitos!A48</f>
        <v>RF-E-041</v>
      </c>
      <c r="B47" s="55" t="str">
        <f>IF(Requisitos!J48="","",Requisitos!J48)</f>
        <v/>
      </c>
      <c r="C47" s="55" t="n">
        <f>Requisitos!E48</f>
        <v>0</v>
      </c>
      <c r="D47" s="55" t="str">
        <f>IF(ISBLANK(Requisitos!O48),"",Requisitos!O48)</f>
        <v/>
      </c>
      <c r="E47" s="55" t="n">
        <f>Requisitos!P48</f>
        <v>0</v>
      </c>
      <c r="F47" s="109" t="str">
        <f>IF(OR(Requisitos!N48="Pendente de diligência limitada",Requisitos!N48="Inaplicabilidade não resolvida"),"PENDENTE",IF(AND(B47&lt;&gt;"",OR(LEN(TRIM(Requisitos!K48&amp;""))=0,LEN(TRIM(Requisitos!L48&amp;""))=0,LEN(TRIM(Requisitos!M48&amp;""))=0,LEN(TRIM(Requisitos!Q48&amp;""))=0)),"PENDENTE",IF(AND(LEN(D47&amp;"")&gt;0,NOT(ISNUMBER(D47))),"INCONSISTENTE",IF(AND(ISNUMBER(D47),OR(D47&lt;0,D47&gt;C47)),"INCONSISTENTE",IF(OR(B47="",B47="Atende mediante configuração ou parametrização",B47="Atende mediante integração",B47="Depende de diligência ou comprovação complementar",B47="Depende de PoC ou validação técnica"),IF(AND(ISNUMBER(D47),D47&gt;0),"INCONSISTENTE","PENDENTE"),IF(B47="Atende integralmente",IF(C47=0,"OK",IF(NOT(ISNUMBER(D47)),"PENDENTE",IF(D47=C47,"OK","INCONSISTENTE"))),IF(OR(B47="Atende parcialmente",B47="Não atende"),IF(OR(NOT(ISNUMBER(D47)),D47=0),"OK","INCONSISTENTE"),"INCONSISTENTE")))))))</f>
        <v>PENDENTE</v>
      </c>
      <c r="G47" s="55" t="inlineStr">
        <is>
          <t>Integral: pontuação igual ao peso. Parcial/não atende: zero quando não houver gradação expressa. Concluir a verificação; não presumir atendimento.</t>
        </is>
      </c>
      <c r="H47" s="71" t="n"/>
      <c r="I47" s="71" t="n"/>
    </row>
    <row r="48" ht="82" customHeight="1" s="37">
      <c r="A48" s="55" t="str">
        <f>Requisitos!A49</f>
        <v>RF-E-042</v>
      </c>
      <c r="B48" s="55" t="str">
        <f>IF(Requisitos!J49="","",Requisitos!J49)</f>
        <v/>
      </c>
      <c r="C48" s="55" t="n">
        <f>Requisitos!E49</f>
        <v>0</v>
      </c>
      <c r="D48" s="55" t="str">
        <f>IF(ISBLANK(Requisitos!O49),"",Requisitos!O49)</f>
        <v/>
      </c>
      <c r="E48" s="55" t="n">
        <f>Requisitos!P49</f>
        <v>0</v>
      </c>
      <c r="F48" s="109" t="str">
        <f>IF(OR(Requisitos!N49="Pendente de diligência limitada",Requisitos!N49="Inaplicabilidade não resolvida"),"PENDENTE",IF(AND(B48&lt;&gt;"",OR(LEN(TRIM(Requisitos!K49&amp;""))=0,LEN(TRIM(Requisitos!L49&amp;""))=0,LEN(TRIM(Requisitos!M49&amp;""))=0,LEN(TRIM(Requisitos!Q49&amp;""))=0)),"PENDENTE",IF(AND(LEN(D48&amp;"")&gt;0,NOT(ISNUMBER(D48))),"INCONSISTENTE",IF(AND(ISNUMBER(D48),OR(D48&lt;0,D48&gt;C48)),"INCONSISTENTE",IF(OR(B48="",B48="Atende mediante configuração ou parametrização",B48="Atende mediante integração",B48="Depende de diligência ou comprovação complementar",B48="Depende de PoC ou validação técnica"),IF(AND(ISNUMBER(D48),D48&gt;0),"INCONSISTENTE","PENDENTE"),IF(B48="Atende integralmente",IF(C48=0,"OK",IF(NOT(ISNUMBER(D48)),"PENDENTE",IF(D48=C48,"OK","INCONSISTENTE"))),IF(OR(B48="Atende parcialmente",B48="Não atende"),IF(OR(NOT(ISNUMBER(D48)),D48=0),"OK","INCONSISTENTE"),"INCONSISTENTE")))))))</f>
        <v>PENDENTE</v>
      </c>
      <c r="G48" s="55" t="inlineStr">
        <is>
          <t>Integral: pontuação igual ao peso. Parcial/não atende: zero quando não houver gradação expressa. Concluir a verificação; não presumir atendimento.</t>
        </is>
      </c>
      <c r="H48" s="71" t="n"/>
      <c r="I48" s="71" t="n"/>
    </row>
    <row r="49" ht="82" customHeight="1" s="37">
      <c r="A49" s="55" t="str">
        <f>Requisitos!A50</f>
        <v>RF-P-001</v>
      </c>
      <c r="B49" s="55" t="str">
        <f>IF(Requisitos!J50="","",Requisitos!J50)</f>
        <v/>
      </c>
      <c r="C49" s="55" t="n">
        <f>Requisitos!E50</f>
        <v>3</v>
      </c>
      <c r="D49" s="55" t="n">
        <f>IF(ISBLANK(Requisitos!O50),"",Requisitos!O50)</f>
        <v>0</v>
      </c>
      <c r="E49" s="55" t="n">
        <f>Requisitos!P50</f>
        <v>0</v>
      </c>
      <c r="F49" s="109" t="str">
        <f>IF(AND(B49&lt;&gt;"",OR(COUNTIF('Subitens RF-P'!G6:G8,"Sim")+COUNTIF('Subitens RF-P'!G6:G8,"Não")&lt;3,IF(AND('Subitens RF-P'!G6="Sim",OR('Subitens RF-P'!E6="",'Subitens RF-P'!F6="")),1,0)+IF(AND('Subitens RF-P'!G7="Sim",OR('Subitens RF-P'!E7="",'Subitens RF-P'!F7="")),1,0)+IF(AND('Subitens RF-P'!G8="Sim",OR('Subitens RF-P'!E8="",'Subitens RF-P'!F8="")),1,0)&gt;0)),"PENDENTE",IF(OR(Requisitos!N50="Pendente de diligência limitada",Requisitos!N50="Inaplicabilidade não resolvida"),"PENDENTE",IF(AND(B49&lt;&gt;"",OR(LEN(TRIM(Requisitos!K50&amp;""))=0,LEN(TRIM(Requisitos!L50&amp;""))=0,LEN(TRIM(Requisitos!M50&amp;""))=0,LEN(TRIM(Requisitos!Q50&amp;""))=0)),"PENDENTE",IF(AND(LEN(D49&amp;"")&gt;0,NOT(ISNUMBER(D49))),"INCONSISTENTE",IF(AND(ISNUMBER(D49),OR(D49&lt;0,D49&gt;C49)),"INCONSISTENTE",IF(OR(B49="",B49="Atende mediante configuração ou parametrização",B49="Atende mediante integração",B49="Depende de diligência ou comprovação complementar",B49="Depende de PoC ou validação técnica"),IF(AND(ISNUMBER(D49),D49&gt;0),"INCONSISTENTE","PENDENTE"),IF(B49="Atende integralmente",IF(C49=0,"OK",IF(NOT(ISNUMBER(D49)),"PENDENTE",IF(D49=C49,"OK","INCONSISTENTE"))),IF(B49="Atende parcialmente",IF(NOT(ISNUMBER(D49)),"PENDENTE",IF(OR(D49=0,D49=1,D49=2),"OK","INCONSISTENTE")),IF(B49="Não atende",IF(OR(NOT(ISNUMBER(D49)),D49=0),"OK","INCONSISTENTE"),"INCONSISTENTE")))))))))</f>
        <v>PENDENTE</v>
      </c>
      <c r="G49" s="55" t="inlineStr">
        <is>
          <t>Gradação expressa por subitem preservada. Parcial: somente soma dos pesos dos subitens comprovados, inferior ao peso do bloco. Registrar evidências. Subtotais possíveis: 0, 1, 2.</t>
        </is>
      </c>
      <c r="H49" s="71" t="n"/>
      <c r="I49" s="71" t="n"/>
    </row>
    <row r="50" ht="82" customHeight="1" s="37">
      <c r="A50" s="55" t="str">
        <f>Requisitos!A51</f>
        <v>RF-P-002</v>
      </c>
      <c r="B50" s="55" t="str">
        <f>IF(Requisitos!J51="","",Requisitos!J51)</f>
        <v/>
      </c>
      <c r="C50" s="55" t="n">
        <f>Requisitos!E51</f>
        <v>3</v>
      </c>
      <c r="D50" s="55" t="n">
        <f>IF(ISBLANK(Requisitos!O51),"",Requisitos!O51)</f>
        <v>0</v>
      </c>
      <c r="E50" s="55" t="n">
        <f>Requisitos!P51</f>
        <v>0</v>
      </c>
      <c r="F50" s="109" t="str">
        <f>IF(AND(B50&lt;&gt;"",OR(COUNTIF('Subitens RF-P'!G9:G11,"Sim")+COUNTIF('Subitens RF-P'!G9:G11,"Não")&lt;3,IF(AND('Subitens RF-P'!G9="Sim",OR('Subitens RF-P'!E9="",'Subitens RF-P'!F9="")),1,0)+IF(AND('Subitens RF-P'!G10="Sim",OR('Subitens RF-P'!E10="",'Subitens RF-P'!F10="")),1,0)+IF(AND('Subitens RF-P'!G11="Sim",OR('Subitens RF-P'!E11="",'Subitens RF-P'!F11="")),1,0)&gt;0)),"PENDENTE",IF(OR(Requisitos!N51="Pendente de diligência limitada",Requisitos!N51="Inaplicabilidade não resolvida"),"PENDENTE",IF(AND(B50&lt;&gt;"",OR(LEN(TRIM(Requisitos!K51&amp;""))=0,LEN(TRIM(Requisitos!L51&amp;""))=0,LEN(TRIM(Requisitos!M51&amp;""))=0,LEN(TRIM(Requisitos!Q51&amp;""))=0)),"PENDENTE",IF(AND(LEN(D50&amp;"")&gt;0,NOT(ISNUMBER(D50))),"INCONSISTENTE",IF(AND(ISNUMBER(D50),OR(D50&lt;0,D50&gt;C50)),"INCONSISTENTE",IF(OR(B50="",B50="Atende mediante configuração ou parametrização",B50="Atende mediante integração",B50="Depende de diligência ou comprovação complementar",B50="Depende de PoC ou validação técnica"),IF(AND(ISNUMBER(D50),D50&gt;0),"INCONSISTENTE","PENDENTE"),IF(B50="Atende integralmente",IF(C50=0,"OK",IF(NOT(ISNUMBER(D50)),"PENDENTE",IF(D50=C50,"OK","INCONSISTENTE"))),IF(B50="Atende parcialmente",IF(NOT(ISNUMBER(D50)),"PENDENTE",IF(OR(D50=0,D50=1,D50=2),"OK","INCONSISTENTE")),IF(B50="Não atende",IF(OR(NOT(ISNUMBER(D50)),D50=0),"OK","INCONSISTENTE"),"INCONSISTENTE")))))))))</f>
        <v>PENDENTE</v>
      </c>
      <c r="G50" s="55" t="inlineStr">
        <is>
          <t>Gradação expressa por subitem preservada. Parcial: somente soma dos pesos dos subitens comprovados, inferior ao peso do bloco. Registrar evidências. Subtotais possíveis: 0, 1, 2.</t>
        </is>
      </c>
      <c r="H50" s="71" t="n"/>
      <c r="I50" s="71" t="n"/>
    </row>
    <row r="51" ht="82" customHeight="1" s="37">
      <c r="A51" s="55" t="str">
        <f>Requisitos!A52</f>
        <v>RF-P-003</v>
      </c>
      <c r="B51" s="55" t="str">
        <f>IF(Requisitos!J52="","",Requisitos!J52)</f>
        <v/>
      </c>
      <c r="C51" s="55" t="n">
        <f>Requisitos!E52</f>
        <v>4</v>
      </c>
      <c r="D51" s="55" t="n">
        <f>IF(ISBLANK(Requisitos!O52),"",Requisitos!O52)</f>
        <v>0</v>
      </c>
      <c r="E51" s="55" t="n">
        <f>Requisitos!P52</f>
        <v>0</v>
      </c>
      <c r="F51" s="109" t="str">
        <f>IF(AND(B51&lt;&gt;"",OR(COUNTIF('Subitens RF-P'!G12:G15,"Sim")+COUNTIF('Subitens RF-P'!G12:G15,"Não")&lt;4,IF(AND('Subitens RF-P'!G12="Sim",OR('Subitens RF-P'!E12="",'Subitens RF-P'!F12="")),1,0)+IF(AND('Subitens RF-P'!G13="Sim",OR('Subitens RF-P'!E13="",'Subitens RF-P'!F13="")),1,0)+IF(AND('Subitens RF-P'!G14="Sim",OR('Subitens RF-P'!E14="",'Subitens RF-P'!F14="")),1,0)+IF(AND('Subitens RF-P'!G15="Sim",OR('Subitens RF-P'!E15="",'Subitens RF-P'!F15="")),1,0)&gt;0)),"PENDENTE",IF(OR(Requisitos!N52="Pendente de diligência limitada",Requisitos!N52="Inaplicabilidade não resolvida"),"PENDENTE",IF(AND(B51&lt;&gt;"",OR(LEN(TRIM(Requisitos!K52&amp;""))=0,LEN(TRIM(Requisitos!L52&amp;""))=0,LEN(TRIM(Requisitos!M52&amp;""))=0,LEN(TRIM(Requisitos!Q52&amp;""))=0)),"PENDENTE",IF(AND(LEN(D51&amp;"")&gt;0,NOT(ISNUMBER(D51))),"INCONSISTENTE",IF(AND(ISNUMBER(D51),OR(D51&lt;0,D51&gt;C51)),"INCONSISTENTE",IF(OR(B51="",B51="Atende mediante configuração ou parametrização",B51="Atende mediante integração",B51="Depende de diligência ou comprovação complementar",B51="Depende de PoC ou validação técnica"),IF(AND(ISNUMBER(D51),D51&gt;0),"INCONSISTENTE","PENDENTE"),IF(B51="Atende integralmente",IF(C51=0,"OK",IF(NOT(ISNUMBER(D51)),"PENDENTE",IF(D51=C51,"OK","INCONSISTENTE"))),IF(B51="Atende parcialmente",IF(NOT(ISNUMBER(D51)),"PENDENTE",IF(OR(D51=0,D51=1,D51=2,D51=3),"OK","INCONSISTENTE")),IF(B51="Não atende",IF(OR(NOT(ISNUMBER(D51)),D51=0),"OK","INCONSISTENTE"),"INCONSISTENTE")))))))))</f>
        <v>PENDENTE</v>
      </c>
      <c r="G51" s="55" t="inlineStr">
        <is>
          <t>Gradação expressa por subitem preservada. Parcial: somente soma dos pesos dos subitens comprovados, inferior ao peso do bloco. Registrar evidências. Subtotais possíveis: 0, 1, 2, 3.</t>
        </is>
      </c>
      <c r="H51" s="71" t="n"/>
      <c r="I51" s="71" t="n"/>
    </row>
    <row r="52" ht="82" customHeight="1" s="37">
      <c r="A52" s="55" t="str">
        <f>Requisitos!A53</f>
        <v>RF-P-004</v>
      </c>
      <c r="B52" s="55" t="str">
        <f>IF(Requisitos!J53="","",Requisitos!J53)</f>
        <v/>
      </c>
      <c r="C52" s="55" t="n">
        <f>Requisitos!E53</f>
        <v>8</v>
      </c>
      <c r="D52" s="55" t="n">
        <f>IF(ISBLANK(Requisitos!O53),"",Requisitos!O53)</f>
        <v>0</v>
      </c>
      <c r="E52" s="55" t="n">
        <f>Requisitos!P53</f>
        <v>0</v>
      </c>
      <c r="F52" s="109" t="str">
        <f>IF(AND(B52&lt;&gt;"",OR(COUNTIF('Subitens RF-P'!G16:G20,"Sim")+COUNTIF('Subitens RF-P'!G16:G20,"Não")&lt;5,IF(AND('Subitens RF-P'!G16="Sim",OR('Subitens RF-P'!E16="",'Subitens RF-P'!F16="")),1,0)+IF(AND('Subitens RF-P'!G17="Sim",OR('Subitens RF-P'!E17="",'Subitens RF-P'!F17="")),1,0)+IF(AND('Subitens RF-P'!G18="Sim",OR('Subitens RF-P'!E18="",'Subitens RF-P'!F18="")),1,0)+IF(AND('Subitens RF-P'!G19="Sim",OR('Subitens RF-P'!E19="",'Subitens RF-P'!F19="")),1,0)+IF(AND('Subitens RF-P'!G20="Sim",OR('Subitens RF-P'!E20="",'Subitens RF-P'!F20="")),1,0)&gt;0)),"PENDENTE",IF(OR(Requisitos!N53="Pendente de diligência limitada",Requisitos!N53="Inaplicabilidade não resolvida"),"PENDENTE",IF(AND(B52&lt;&gt;"",OR(LEN(TRIM(Requisitos!K53&amp;""))=0,LEN(TRIM(Requisitos!L53&amp;""))=0,LEN(TRIM(Requisitos!M53&amp;""))=0,LEN(TRIM(Requisitos!Q53&amp;""))=0)),"PENDENTE",IF(AND(LEN(D52&amp;"")&gt;0,NOT(ISNUMBER(D52))),"INCONSISTENTE",IF(AND(ISNUMBER(D52),OR(D52&lt;0,D52&gt;C52)),"INCONSISTENTE",IF(OR(B52="",B52="Atende mediante configuração ou parametrização",B52="Atende mediante integração",B52="Depende de diligência ou comprovação complementar",B52="Depende de PoC ou validação técnica"),IF(AND(ISNUMBER(D52),D52&gt;0),"INCONSISTENTE","PENDENTE"),IF(B52="Atende integralmente",IF(C52=0,"OK",IF(NOT(ISNUMBER(D52)),"PENDENTE",IF(D52=C52,"OK","INCONSISTENTE"))),IF(B52="Atende parcialmente",IF(NOT(ISNUMBER(D52)),"PENDENTE",IF(OR(D52=0,D52=1,D52=2,D52=3,D52=4,D52=5,D52=6,D52=7),"OK","INCONSISTENTE")),IF(B52="Não atende",IF(OR(NOT(ISNUMBER(D52)),D52=0),"OK","INCONSISTENTE"),"INCONSISTENTE")))))))))</f>
        <v>PENDENTE</v>
      </c>
      <c r="G52" s="55" t="inlineStr">
        <is>
          <t>Gradação expressa por subitem preservada. Parcial: somente soma dos pesos dos subitens comprovados, inferior ao peso do bloco. Registrar evidências. Subtotais possíveis: 0, 1, 2, 3, 4, 5, 6, 7.</t>
        </is>
      </c>
      <c r="H52" s="71" t="n"/>
      <c r="I52" s="71" t="n"/>
    </row>
    <row r="53" ht="82" customHeight="1" s="37">
      <c r="A53" s="55" t="str">
        <f>Requisitos!A54</f>
        <v>RF-P-005</v>
      </c>
      <c r="B53" s="55" t="str">
        <f>IF(Requisitos!J54="","",Requisitos!J54)</f>
        <v/>
      </c>
      <c r="C53" s="55" t="n">
        <f>Requisitos!E54</f>
        <v>6</v>
      </c>
      <c r="D53" s="55" t="n">
        <f>IF(ISBLANK(Requisitos!O54),"",Requisitos!O54)</f>
        <v>0</v>
      </c>
      <c r="E53" s="55" t="n">
        <f>Requisitos!P54</f>
        <v>0</v>
      </c>
      <c r="F53" s="109" t="str">
        <f>IF(AND(B53&lt;&gt;"",OR(COUNTIF('Subitens RF-P'!G21:G23,"Sim")+COUNTIF('Subitens RF-P'!G21:G23,"Não")&lt;3,IF(AND('Subitens RF-P'!G21="Sim",OR('Subitens RF-P'!E21="",'Subitens RF-P'!F21="")),1,0)+IF(AND('Subitens RF-P'!G22="Sim",OR('Subitens RF-P'!E22="",'Subitens RF-P'!F22="")),1,0)+IF(AND('Subitens RF-P'!G23="Sim",OR('Subitens RF-P'!E23="",'Subitens RF-P'!F23="")),1,0)&gt;0)),"PENDENTE",IF(OR(Requisitos!N54="Pendente de diligência limitada",Requisitos!N54="Inaplicabilidade não resolvida"),"PENDENTE",IF(AND(B53&lt;&gt;"",OR(LEN(TRIM(Requisitos!K54&amp;""))=0,LEN(TRIM(Requisitos!L54&amp;""))=0,LEN(TRIM(Requisitos!M54&amp;""))=0,LEN(TRIM(Requisitos!Q54&amp;""))=0)),"PENDENTE",IF(AND(LEN(D53&amp;"")&gt;0,NOT(ISNUMBER(D53))),"INCONSISTENTE",IF(AND(ISNUMBER(D53),OR(D53&lt;0,D53&gt;C53)),"INCONSISTENTE",IF(OR(B53="",B53="Atende mediante configuração ou parametrização",B53="Atende mediante integração",B53="Depende de diligência ou comprovação complementar",B53="Depende de PoC ou validação técnica"),IF(AND(ISNUMBER(D53),D53&gt;0),"INCONSISTENTE","PENDENTE"),IF(B53="Atende integralmente",IF(C53=0,"OK",IF(NOT(ISNUMBER(D53)),"PENDENTE",IF(D53=C53,"OK","INCONSISTENTE"))),IF(B53="Atende parcialmente",IF(NOT(ISNUMBER(D53)),"PENDENTE",IF(OR(D53=0,D53=2,D53=4),"OK","INCONSISTENTE")),IF(B53="Não atende",IF(OR(NOT(ISNUMBER(D53)),D53=0),"OK","INCONSISTENTE"),"INCONSISTENTE")))))))))</f>
        <v>PENDENTE</v>
      </c>
      <c r="G53" s="55" t="inlineStr">
        <is>
          <t>Gradação expressa por subitem preservada. Parcial: somente soma dos pesos dos subitens comprovados, inferior ao peso do bloco. Registrar evidências. Subtotais possíveis: 0, 2, 4.</t>
        </is>
      </c>
      <c r="H53" s="71" t="n"/>
      <c r="I53" s="71" t="n"/>
    </row>
    <row r="54" ht="82" customHeight="1" s="37">
      <c r="A54" s="55" t="str">
        <f>Requisitos!A55</f>
        <v>RF-P-006</v>
      </c>
      <c r="B54" s="55" t="str">
        <f>IF(Requisitos!J55="","",Requisitos!J55)</f>
        <v/>
      </c>
      <c r="C54" s="55" t="n">
        <f>Requisitos!E55</f>
        <v>9</v>
      </c>
      <c r="D54" s="55" t="n">
        <f>IF(ISBLANK(Requisitos!O55),"",Requisitos!O55)</f>
        <v>0</v>
      </c>
      <c r="E54" s="55" t="n">
        <f>Requisitos!P55</f>
        <v>0</v>
      </c>
      <c r="F54" s="109" t="str">
        <f>IF(AND(B54&lt;&gt;"",OR(COUNTIF('Subitens RF-P'!G24:G28,"Sim")+COUNTIF('Subitens RF-P'!G24:G28,"Não")&lt;5,IF(AND('Subitens RF-P'!G24="Sim",OR('Subitens RF-P'!E24="",'Subitens RF-P'!F24="")),1,0)+IF(AND('Subitens RF-P'!G25="Sim",OR('Subitens RF-P'!E25="",'Subitens RF-P'!F25="")),1,0)+IF(AND('Subitens RF-P'!G26="Sim",OR('Subitens RF-P'!E26="",'Subitens RF-P'!F26="")),1,0)+IF(AND('Subitens RF-P'!G27="Sim",OR('Subitens RF-P'!E27="",'Subitens RF-P'!F27="")),1,0)+IF(AND('Subitens RF-P'!G28="Sim",OR('Subitens RF-P'!E28="",'Subitens RF-P'!F28="")),1,0)&gt;0)),"PENDENTE",IF(OR(Requisitos!N55="Pendente de diligência limitada",Requisitos!N55="Inaplicabilidade não resolvida"),"PENDENTE",IF(AND(B54&lt;&gt;"",OR(LEN(TRIM(Requisitos!K55&amp;""))=0,LEN(TRIM(Requisitos!L55&amp;""))=0,LEN(TRIM(Requisitos!M55&amp;""))=0,LEN(TRIM(Requisitos!Q55&amp;""))=0)),"PENDENTE",IF(AND(LEN(D54&amp;"")&gt;0,NOT(ISNUMBER(D54))),"INCONSISTENTE",IF(AND(ISNUMBER(D54),OR(D54&lt;0,D54&gt;C54)),"INCONSISTENTE",IF(OR(B54="",B54="Atende mediante configuração ou parametrização",B54="Atende mediante integração",B54="Depende de diligência ou comprovação complementar",B54="Depende de PoC ou validação técnica"),IF(AND(ISNUMBER(D54),D54&gt;0),"INCONSISTENTE","PENDENTE"),IF(B54="Atende integralmente",IF(C54=0,"OK",IF(NOT(ISNUMBER(D54)),"PENDENTE",IF(D54=C54,"OK","INCONSISTENTE"))),IF(B54="Atende parcialmente",IF(NOT(ISNUMBER(D54)),"PENDENTE",IF(OR(D54=0,D54=1,D54=2,D54=3,D54=4,D54=5,D54=6,D54=7,D54=8),"OK","INCONSISTENTE")),IF(B54="Não atende",IF(OR(NOT(ISNUMBER(D54)),D54=0),"OK","INCONSISTENTE"),"INCONSISTENTE")))))))))</f>
        <v>PENDENTE</v>
      </c>
      <c r="G54" s="55" t="inlineStr">
        <is>
          <t>Gradação expressa por subitem preservada. Parcial: somente soma dos pesos dos subitens comprovados, inferior ao peso do bloco. Registrar evidências. Subtotais possíveis: 0, 1, 2, 3, 4, 5, 6, 7, 8.</t>
        </is>
      </c>
      <c r="H54" s="71" t="n"/>
      <c r="I54" s="71" t="n"/>
    </row>
    <row r="55" ht="82" customHeight="1" s="37">
      <c r="A55" s="55" t="str">
        <f>Requisitos!A56</f>
        <v>RF-P-007</v>
      </c>
      <c r="B55" s="55" t="str">
        <f>IF(Requisitos!J56="","",Requisitos!J56)</f>
        <v/>
      </c>
      <c r="C55" s="55" t="n">
        <f>Requisitos!E56</f>
        <v>6</v>
      </c>
      <c r="D55" s="55" t="n">
        <f>IF(ISBLANK(Requisitos!O56),"",Requisitos!O56)</f>
        <v>0</v>
      </c>
      <c r="E55" s="55" t="n">
        <f>Requisitos!P56</f>
        <v>0</v>
      </c>
      <c r="F55" s="109" t="str">
        <f>IF(AND(B55&lt;&gt;"",OR(COUNTIF('Subitens RF-P'!G29:G33,"Sim")+COUNTIF('Subitens RF-P'!G29:G33,"Não")&lt;5,IF(AND('Subitens RF-P'!G29="Sim",OR('Subitens RF-P'!E29="",'Subitens RF-P'!F29="")),1,0)+IF(AND('Subitens RF-P'!G30="Sim",OR('Subitens RF-P'!E30="",'Subitens RF-P'!F30="")),1,0)+IF(AND('Subitens RF-P'!G31="Sim",OR('Subitens RF-P'!E31="",'Subitens RF-P'!F31="")),1,0)+IF(AND('Subitens RF-P'!G32="Sim",OR('Subitens RF-P'!E32="",'Subitens RF-P'!F32="")),1,0)+IF(AND('Subitens RF-P'!G33="Sim",OR('Subitens RF-P'!E33="",'Subitens RF-P'!F33="")),1,0)&gt;0)),"PENDENTE",IF(OR(Requisitos!N56="Pendente de diligência limitada",Requisitos!N56="Inaplicabilidade não resolvida"),"PENDENTE",IF(AND(B55&lt;&gt;"",OR(LEN(TRIM(Requisitos!K56&amp;""))=0,LEN(TRIM(Requisitos!L56&amp;""))=0,LEN(TRIM(Requisitos!M56&amp;""))=0,LEN(TRIM(Requisitos!Q56&amp;""))=0)),"PENDENTE",IF(AND(LEN(D55&amp;"")&gt;0,NOT(ISNUMBER(D55))),"INCONSISTENTE",IF(AND(ISNUMBER(D55),OR(D55&lt;0,D55&gt;C55)),"INCONSISTENTE",IF(OR(B55="",B55="Atende mediante configuração ou parametrização",B55="Atende mediante integração",B55="Depende de diligência ou comprovação complementar",B55="Depende de PoC ou validação técnica"),IF(AND(ISNUMBER(D55),D55&gt;0),"INCONSISTENTE","PENDENTE"),IF(B55="Atende integralmente",IF(C55=0,"OK",IF(NOT(ISNUMBER(D55)),"PENDENTE",IF(D55=C55,"OK","INCONSISTENTE"))),IF(B55="Atende parcialmente",IF(NOT(ISNUMBER(D55)),"PENDENTE",IF(OR(D55=0,D55=1,D55=2,D55=3,D55=4,D55=5),"OK","INCONSISTENTE")),IF(B55="Não atende",IF(OR(NOT(ISNUMBER(D55)),D55=0),"OK","INCONSISTENTE"),"INCONSISTENTE")))))))))</f>
        <v>PENDENTE</v>
      </c>
      <c r="G55" s="55" t="inlineStr">
        <is>
          <t>Gradação expressa por subitem preservada. Parcial: somente soma dos pesos dos subitens comprovados, inferior ao peso do bloco. Registrar evidências. Subtotais possíveis: 0, 1, 2, 3, 4, 5.</t>
        </is>
      </c>
      <c r="H55" s="71" t="n"/>
      <c r="I55" s="71" t="n"/>
    </row>
    <row r="56" ht="82" customHeight="1" s="37">
      <c r="A56" s="55" t="str">
        <f>Requisitos!A57</f>
        <v>RF-P-008</v>
      </c>
      <c r="B56" s="55" t="str">
        <f>IF(Requisitos!J57="","",Requisitos!J57)</f>
        <v/>
      </c>
      <c r="C56" s="55" t="n">
        <f>Requisitos!E57</f>
        <v>2</v>
      </c>
      <c r="D56" s="55" t="n">
        <f>IF(ISBLANK(Requisitos!O57),"",Requisitos!O57)</f>
        <v>0</v>
      </c>
      <c r="E56" s="55" t="n">
        <f>Requisitos!P57</f>
        <v>0</v>
      </c>
      <c r="F56" s="109" t="str">
        <f>IF(AND(B56&lt;&gt;"",OR(COUNTIF('Subitens RF-P'!G34:G34,"Sim")+COUNTIF('Subitens RF-P'!G34:G34,"Não")&lt;1,IF(AND('Subitens RF-P'!G34="Sim",OR('Subitens RF-P'!E34="",'Subitens RF-P'!F34="")),1,0)&gt;0)),"PENDENTE",IF(OR(Requisitos!N57="Pendente de diligência limitada",Requisitos!N57="Inaplicabilidade não resolvida"),"PENDENTE",IF(AND(B56&lt;&gt;"",OR(LEN(TRIM(Requisitos!K57&amp;""))=0,LEN(TRIM(Requisitos!L57&amp;""))=0,LEN(TRIM(Requisitos!M57&amp;""))=0,LEN(TRIM(Requisitos!Q57&amp;""))=0)),"PENDENTE",IF(AND(LEN(D56&amp;"")&gt;0,NOT(ISNUMBER(D56))),"INCONSISTENTE",IF(AND(ISNUMBER(D56),OR(D56&lt;0,D56&gt;C56)),"INCONSISTENTE",IF(OR(B56="",B56="Atende mediante configuração ou parametrização",B56="Atende mediante integração",B56="Depende de diligência ou comprovação complementar",B56="Depende de PoC ou validação técnica"),IF(AND(ISNUMBER(D56),D56&gt;0),"INCONSISTENTE","PENDENTE"),IF(B56="Atende integralmente",IF(C56=0,"OK",IF(NOT(ISNUMBER(D56)),"PENDENTE",IF(D56=C56,"OK","INCONSISTENTE"))),IF(B56="Atende parcialmente",IF(NOT(ISNUMBER(D56)),"PENDENTE",IF(OR(D56=0),"OK","INCONSISTENTE")),IF(B56="Não atende",IF(OR(NOT(ISNUMBER(D56)),D56=0),"OK","INCONSISTENTE"),"INCONSISTENTE")))))))))</f>
        <v>PENDENTE</v>
      </c>
      <c r="G56" s="55" t="inlineStr">
        <is>
          <t>Gradação expressa por subitem preservada. Parcial: somente soma dos pesos dos subitens comprovados, inferior ao peso do bloco. Registrar evidências. Subtotais possíveis: 0.</t>
        </is>
      </c>
      <c r="H56" s="71" t="n"/>
      <c r="I56" s="71" t="n"/>
    </row>
    <row r="57" ht="82" customHeight="1" s="37">
      <c r="A57" s="55" t="str">
        <f>Requisitos!A58</f>
        <v>RF-P-009</v>
      </c>
      <c r="B57" s="55" t="str">
        <f>IF(Requisitos!J58="","",Requisitos!J58)</f>
        <v/>
      </c>
      <c r="C57" s="55" t="n">
        <f>Requisitos!E58</f>
        <v>3</v>
      </c>
      <c r="D57" s="55" t="n">
        <f>IF(ISBLANK(Requisitos!O58),"",Requisitos!O58)</f>
        <v>0</v>
      </c>
      <c r="E57" s="55" t="n">
        <f>Requisitos!P58</f>
        <v>0</v>
      </c>
      <c r="F57" s="109" t="str">
        <f>IF(AND(B57&lt;&gt;"",OR(COUNTIF('Subitens RF-P'!G35:G36,"Sim")+COUNTIF('Subitens RF-P'!G35:G36,"Não")&lt;2,IF(AND('Subitens RF-P'!G35="Sim",OR('Subitens RF-P'!E35="",'Subitens RF-P'!F35="")),1,0)+IF(AND('Subitens RF-P'!G36="Sim",OR('Subitens RF-P'!E36="",'Subitens RF-P'!F36="")),1,0)&gt;0)),"PENDENTE",IF(OR(Requisitos!N58="Pendente de diligência limitada",Requisitos!N58="Inaplicabilidade não resolvida"),"PENDENTE",IF(AND(B57&lt;&gt;"",OR(LEN(TRIM(Requisitos!K58&amp;""))=0,LEN(TRIM(Requisitos!L58&amp;""))=0,LEN(TRIM(Requisitos!M58&amp;""))=0,LEN(TRIM(Requisitos!Q58&amp;""))=0)),"PENDENTE",IF(AND(LEN(D57&amp;"")&gt;0,NOT(ISNUMBER(D57))),"INCONSISTENTE",IF(AND(ISNUMBER(D57),OR(D57&lt;0,D57&gt;C57)),"INCONSISTENTE",IF(OR(B57="",B57="Atende mediante configuração ou parametrização",B57="Atende mediante integração",B57="Depende de diligência ou comprovação complementar",B57="Depende de PoC ou validação técnica"),IF(AND(ISNUMBER(D57),D57&gt;0),"INCONSISTENTE","PENDENTE"),IF(B57="Atende integralmente",IF(C57=0,"OK",IF(NOT(ISNUMBER(D57)),"PENDENTE",IF(D57=C57,"OK","INCONSISTENTE"))),IF(B57="Atende parcialmente",IF(NOT(ISNUMBER(D57)),"PENDENTE",IF(OR(D57=0,D57=1,D57=2),"OK","INCONSISTENTE")),IF(B57="Não atende",IF(OR(NOT(ISNUMBER(D57)),D57=0),"OK","INCONSISTENTE"),"INCONSISTENTE")))))))))</f>
        <v>PENDENTE</v>
      </c>
      <c r="G57" s="55" t="inlineStr">
        <is>
          <t>Gradação expressa por subitem preservada. Parcial: somente soma dos pesos dos subitens comprovados, inferior ao peso do bloco. Registrar evidências. Subtotais possíveis: 0, 1, 2.</t>
        </is>
      </c>
      <c r="H57" s="71" t="n"/>
      <c r="I57" s="71" t="n"/>
    </row>
    <row r="58" ht="82" customHeight="1" s="37">
      <c r="A58" s="55" t="str">
        <f>Requisitos!A59</f>
        <v>RF-P-010</v>
      </c>
      <c r="B58" s="55" t="str">
        <f>IF(Requisitos!J59="","",Requisitos!J59)</f>
        <v/>
      </c>
      <c r="C58" s="55" t="n">
        <f>Requisitos!E59</f>
        <v>4</v>
      </c>
      <c r="D58" s="55" t="n">
        <f>IF(ISBLANK(Requisitos!O59),"",Requisitos!O59)</f>
        <v>0</v>
      </c>
      <c r="E58" s="55" t="n">
        <f>Requisitos!P59</f>
        <v>0</v>
      </c>
      <c r="F58" s="109" t="str">
        <f>IF(AND(B58&lt;&gt;"",OR(COUNTIF('Subitens RF-P'!G37:G39,"Sim")+COUNTIF('Subitens RF-P'!G37:G39,"Não")&lt;3,IF(AND('Subitens RF-P'!G37="Sim",OR('Subitens RF-P'!E37="",'Subitens RF-P'!F37="")),1,0)+IF(AND('Subitens RF-P'!G38="Sim",OR('Subitens RF-P'!E38="",'Subitens RF-P'!F38="")),1,0)+IF(AND('Subitens RF-P'!G39="Sim",OR('Subitens RF-P'!E39="",'Subitens RF-P'!F39="")),1,0)&gt;0)),"PENDENTE",IF(OR(Requisitos!N59="Pendente de diligência limitada",Requisitos!N59="Inaplicabilidade não resolvida"),"PENDENTE",IF(AND(B58&lt;&gt;"",OR(LEN(TRIM(Requisitos!K59&amp;""))=0,LEN(TRIM(Requisitos!L59&amp;""))=0,LEN(TRIM(Requisitos!M59&amp;""))=0,LEN(TRIM(Requisitos!Q59&amp;""))=0)),"PENDENTE",IF(AND(LEN(D58&amp;"")&gt;0,NOT(ISNUMBER(D58))),"INCONSISTENTE",IF(AND(ISNUMBER(D58),OR(D58&lt;0,D58&gt;C58)),"INCONSISTENTE",IF(OR(B58="",B58="Atende mediante configuração ou parametrização",B58="Atende mediante integração",B58="Depende de diligência ou comprovação complementar",B58="Depende de PoC ou validação técnica"),IF(AND(ISNUMBER(D58),D58&gt;0),"INCONSISTENTE","PENDENTE"),IF(B58="Atende integralmente",IF(C58=0,"OK",IF(NOT(ISNUMBER(D58)),"PENDENTE",IF(D58=C58,"OK","INCONSISTENTE"))),IF(B58="Atende parcialmente",IF(NOT(ISNUMBER(D58)),"PENDENTE",IF(OR(D58=0,D58=1,D58=2,D58=3),"OK","INCONSISTENTE")),IF(B58="Não atende",IF(OR(NOT(ISNUMBER(D58)),D58=0),"OK","INCONSISTENTE"),"INCONSISTENTE")))))))))</f>
        <v>PENDENTE</v>
      </c>
      <c r="G58" s="55" t="inlineStr">
        <is>
          <t>Gradação expressa por subitem preservada. Parcial: somente soma dos pesos dos subitens comprovados, inferior ao peso do bloco. Registrar evidências. Subtotais possíveis: 0, 1, 2, 3.</t>
        </is>
      </c>
      <c r="H58" s="71" t="n"/>
      <c r="I58" s="71" t="n"/>
    </row>
    <row r="59" ht="82" customHeight="1" s="37">
      <c r="A59" s="55" t="str">
        <f>Requisitos!A60</f>
        <v>RF-P-011</v>
      </c>
      <c r="B59" s="55" t="str">
        <f>IF(Requisitos!J60="","",Requisitos!J60)</f>
        <v/>
      </c>
      <c r="C59" s="55" t="n">
        <f>Requisitos!E60</f>
        <v>8</v>
      </c>
      <c r="D59" s="55" t="n">
        <f>IF(ISBLANK(Requisitos!O60),"",Requisitos!O60)</f>
        <v>0</v>
      </c>
      <c r="E59" s="55" t="n">
        <f>Requisitos!P60</f>
        <v>0</v>
      </c>
      <c r="F59" s="109" t="str">
        <f>IF(AND(B59&lt;&gt;"",OR(COUNTIF('Subitens RF-P'!G40:G43,"Sim")+COUNTIF('Subitens RF-P'!G40:G43,"Não")&lt;4,IF(AND('Subitens RF-P'!G40="Sim",OR('Subitens RF-P'!E40="",'Subitens RF-P'!F40="")),1,0)+IF(AND('Subitens RF-P'!G41="Sim",OR('Subitens RF-P'!E41="",'Subitens RF-P'!F41="")),1,0)+IF(AND('Subitens RF-P'!G42="Sim",OR('Subitens RF-P'!E42="",'Subitens RF-P'!F42="")),1,0)+IF(AND('Subitens RF-P'!G43="Sim",OR('Subitens RF-P'!E43="",'Subitens RF-P'!F43="")),1,0)&gt;0)),"PENDENTE",IF(OR(Requisitos!N60="Pendente de diligência limitada",Requisitos!N60="Inaplicabilidade não resolvida"),"PENDENTE",IF(AND(B59&lt;&gt;"",OR(LEN(TRIM(Requisitos!K60&amp;""))=0,LEN(TRIM(Requisitos!L60&amp;""))=0,LEN(TRIM(Requisitos!M60&amp;""))=0,LEN(TRIM(Requisitos!Q60&amp;""))=0)),"PENDENTE",IF(AND(LEN(D59&amp;"")&gt;0,NOT(ISNUMBER(D59))),"INCONSISTENTE",IF(AND(ISNUMBER(D59),OR(D59&lt;0,D59&gt;C59)),"INCONSISTENTE",IF(OR(B59="",B59="Atende mediante configuração ou parametrização",B59="Atende mediante integração",B59="Depende de diligência ou comprovação complementar",B59="Depende de PoC ou validação técnica"),IF(AND(ISNUMBER(D59),D59&gt;0),"INCONSISTENTE","PENDENTE"),IF(B59="Atende integralmente",IF(C59=0,"OK",IF(NOT(ISNUMBER(D59)),"PENDENTE",IF(D59=C59,"OK","INCONSISTENTE"))),IF(B59="Atende parcialmente",IF(NOT(ISNUMBER(D59)),"PENDENTE",IF(OR(D59=0,D59=1,D59=2,D59=3,D59=4,D59=5,D59=6,D59=7),"OK","INCONSISTENTE")),IF(B59="Não atende",IF(OR(NOT(ISNUMBER(D59)),D59=0),"OK","INCONSISTENTE"),"INCONSISTENTE")))))))))</f>
        <v>PENDENTE</v>
      </c>
      <c r="G59" s="55" t="inlineStr">
        <is>
          <t>Gradação expressa por subitem preservada. Parcial: somente soma dos pesos dos subitens comprovados, inferior ao peso do bloco. Registrar evidências. Subtotais possíveis: 0, 1, 2, 3, 4, 5, 6, 7.</t>
        </is>
      </c>
      <c r="H59" s="71" t="n"/>
      <c r="I59" s="71" t="n"/>
    </row>
    <row r="60" ht="82" customHeight="1" s="37">
      <c r="A60" s="55" t="str">
        <f>Requisitos!A61</f>
        <v>RF-P-012</v>
      </c>
      <c r="B60" s="55" t="str">
        <f>IF(Requisitos!J61="","",Requisitos!J61)</f>
        <v/>
      </c>
      <c r="C60" s="55" t="n">
        <f>Requisitos!E61</f>
        <v>3</v>
      </c>
      <c r="D60" s="55" t="n">
        <f>IF(ISBLANK(Requisitos!O61),"",Requisitos!O61)</f>
        <v>0</v>
      </c>
      <c r="E60" s="55" t="n">
        <f>Requisitos!P61</f>
        <v>0</v>
      </c>
      <c r="F60" s="109" t="str">
        <f>IF(AND(B60&lt;&gt;"",OR(COUNTIF('Subitens RF-P'!G44:G44,"Sim")+COUNTIF('Subitens RF-P'!G44:G44,"Não")&lt;1,IF(AND('Subitens RF-P'!G44="Sim",OR('Subitens RF-P'!E44="",'Subitens RF-P'!F44="")),1,0)&gt;0)),"PENDENTE",IF(OR(Requisitos!N61="Pendente de diligência limitada",Requisitos!N61="Inaplicabilidade não resolvida"),"PENDENTE",IF(AND(B60&lt;&gt;"",OR(LEN(TRIM(Requisitos!K61&amp;""))=0,LEN(TRIM(Requisitos!L61&amp;""))=0,LEN(TRIM(Requisitos!M61&amp;""))=0,LEN(TRIM(Requisitos!Q61&amp;""))=0)),"PENDENTE",IF(AND(LEN(D60&amp;"")&gt;0,NOT(ISNUMBER(D60))),"INCONSISTENTE",IF(AND(ISNUMBER(D60),OR(D60&lt;0,D60&gt;C60)),"INCONSISTENTE",IF(OR(B60="",B60="Atende mediante configuração ou parametrização",B60="Atende mediante integração",B60="Depende de diligência ou comprovação complementar",B60="Depende de PoC ou validação técnica"),IF(AND(ISNUMBER(D60),D60&gt;0),"INCONSISTENTE","PENDENTE"),IF(B60="Atende integralmente",IF(C60=0,"OK",IF(NOT(ISNUMBER(D60)),"PENDENTE",IF(D60=C60,"OK","INCONSISTENTE"))),IF(B60="Atende parcialmente",IF(NOT(ISNUMBER(D60)),"PENDENTE",IF(OR(D60=0),"OK","INCONSISTENTE")),IF(B60="Não atende",IF(OR(NOT(ISNUMBER(D60)),D60=0),"OK","INCONSISTENTE"),"INCONSISTENTE")))))))))</f>
        <v>PENDENTE</v>
      </c>
      <c r="G60" s="55" t="inlineStr">
        <is>
          <t>Gradação expressa por subitem preservada. Parcial: somente soma dos pesos dos subitens comprovados, inferior ao peso do bloco. Registrar evidências. Subtotais possíveis: 0.</t>
        </is>
      </c>
      <c r="H60" s="71" t="n"/>
      <c r="I60" s="71" t="n"/>
    </row>
    <row r="61" ht="82" customHeight="1" s="37">
      <c r="A61" s="55" t="str">
        <f>Requisitos!A62</f>
        <v>RF-P-013</v>
      </c>
      <c r="B61" s="55" t="str">
        <f>IF(Requisitos!J62="","",Requisitos!J62)</f>
        <v/>
      </c>
      <c r="C61" s="55" t="n">
        <f>Requisitos!E62</f>
        <v>5</v>
      </c>
      <c r="D61" s="55" t="n">
        <f>IF(ISBLANK(Requisitos!O62),"",Requisitos!O62)</f>
        <v>0</v>
      </c>
      <c r="E61" s="55" t="n">
        <f>Requisitos!P62</f>
        <v>0</v>
      </c>
      <c r="F61" s="109" t="str">
        <f>IF(AND(B61&lt;&gt;"",OR(COUNTIF('Subitens RF-P'!G45:G46,"Sim")+COUNTIF('Subitens RF-P'!G45:G46,"Não")&lt;2,IF(AND('Subitens RF-P'!G45="Sim",OR('Subitens RF-P'!E45="",'Subitens RF-P'!F45="")),1,0)+IF(AND('Subitens RF-P'!G46="Sim",OR('Subitens RF-P'!E46="",'Subitens RF-P'!F46="")),1,0)&gt;0)),"PENDENTE",IF(OR(Requisitos!N62="Pendente de diligência limitada",Requisitos!N62="Inaplicabilidade não resolvida"),"PENDENTE",IF(AND(B61&lt;&gt;"",OR(LEN(TRIM(Requisitos!K62&amp;""))=0,LEN(TRIM(Requisitos!L62&amp;""))=0,LEN(TRIM(Requisitos!M62&amp;""))=0,LEN(TRIM(Requisitos!Q62&amp;""))=0)),"PENDENTE",IF(AND(LEN(D61&amp;"")&gt;0,NOT(ISNUMBER(D61))),"INCONSISTENTE",IF(AND(ISNUMBER(D61),OR(D61&lt;0,D61&gt;C61)),"INCONSISTENTE",IF(OR(B61="",B61="Atende mediante configuração ou parametrização",B61="Atende mediante integração",B61="Depende de diligência ou comprovação complementar",B61="Depende de PoC ou validação técnica"),IF(AND(ISNUMBER(D61),D61&gt;0),"INCONSISTENTE","PENDENTE"),IF(B61="Atende integralmente",IF(C61=0,"OK",IF(NOT(ISNUMBER(D61)),"PENDENTE",IF(D61=C61,"OK","INCONSISTENTE"))),IF(B61="Atende parcialmente",IF(NOT(ISNUMBER(D61)),"PENDENTE",IF(OR(D61=0,D61=2,D61=3),"OK","INCONSISTENTE")),IF(B61="Não atende",IF(OR(NOT(ISNUMBER(D61)),D61=0),"OK","INCONSISTENTE"),"INCONSISTENTE")))))))))</f>
        <v>PENDENTE</v>
      </c>
      <c r="G61" s="55" t="inlineStr">
        <is>
          <t>Gradação expressa por subitem preservada. Parcial: somente soma dos pesos dos subitens comprovados, inferior ao peso do bloco. Registrar evidências. Subtotais possíveis: 0, 2, 3.</t>
        </is>
      </c>
      <c r="H61" s="71" t="n"/>
      <c r="I61" s="71" t="n"/>
    </row>
    <row r="62" ht="82" customHeight="1" s="37">
      <c r="A62" s="55" t="str">
        <f>Requisitos!A63</f>
        <v>RF-P-014</v>
      </c>
      <c r="B62" s="55" t="str">
        <f>IF(Requisitos!J63="","",Requisitos!J63)</f>
        <v/>
      </c>
      <c r="C62" s="55" t="n">
        <f>Requisitos!E63</f>
        <v>3</v>
      </c>
      <c r="D62" s="55" t="n">
        <f>IF(ISBLANK(Requisitos!O63),"",Requisitos!O63)</f>
        <v>0</v>
      </c>
      <c r="E62" s="55" t="n">
        <f>Requisitos!P63</f>
        <v>0</v>
      </c>
      <c r="F62" s="109" t="str">
        <f>IF(AND(B62&lt;&gt;"",OR(COUNTIF('Subitens RF-P'!G47:G48,"Sim")+COUNTIF('Subitens RF-P'!G47:G48,"Não")&lt;2,IF(AND('Subitens RF-P'!G47="Sim",OR('Subitens RF-P'!E47="",'Subitens RF-P'!F47="")),1,0)+IF(AND('Subitens RF-P'!G48="Sim",OR('Subitens RF-P'!E48="",'Subitens RF-P'!F48="")),1,0)&gt;0)),"PENDENTE",IF(OR(Requisitos!N63="Pendente de diligência limitada",Requisitos!N63="Inaplicabilidade não resolvida"),"PENDENTE",IF(AND(B62&lt;&gt;"",OR(LEN(TRIM(Requisitos!K63&amp;""))=0,LEN(TRIM(Requisitos!L63&amp;""))=0,LEN(TRIM(Requisitos!M63&amp;""))=0,LEN(TRIM(Requisitos!Q63&amp;""))=0)),"PENDENTE",IF(AND(LEN(D62&amp;"")&gt;0,NOT(ISNUMBER(D62))),"INCONSISTENTE",IF(AND(ISNUMBER(D62),OR(D62&lt;0,D62&gt;C62)),"INCONSISTENTE",IF(OR(B62="",B62="Atende mediante configuração ou parametrização",B62="Atende mediante integração",B62="Depende de diligência ou comprovação complementar",B62="Depende de PoC ou validação técnica"),IF(AND(ISNUMBER(D62),D62&gt;0),"INCONSISTENTE","PENDENTE"),IF(B62="Atende integralmente",IF(C62=0,"OK",IF(NOT(ISNUMBER(D62)),"PENDENTE",IF(D62=C62,"OK","INCONSISTENTE"))),IF(B62="Atende parcialmente",IF(NOT(ISNUMBER(D62)),"PENDENTE",IF(OR(D62=0,D62=1,D62=2),"OK","INCONSISTENTE")),IF(B62="Não atende",IF(OR(NOT(ISNUMBER(D62)),D62=0),"OK","INCONSISTENTE"),"INCONSISTENTE")))))))))</f>
        <v>PENDENTE</v>
      </c>
      <c r="G62" s="55" t="inlineStr">
        <is>
          <t>Gradação expressa por subitem preservada. Parcial: somente soma dos pesos dos subitens comprovados, inferior ao peso do bloco. Registrar evidências. Subtotais possíveis: 0, 1, 2.</t>
        </is>
      </c>
      <c r="H62" s="71" t="n"/>
      <c r="I62" s="71" t="n"/>
    </row>
    <row r="63" ht="82" customHeight="1" s="37">
      <c r="A63" s="55" t="str">
        <f>Requisitos!A64</f>
        <v>RF-P-015</v>
      </c>
      <c r="B63" s="55" t="str">
        <f>IF(Requisitos!J64="","",Requisitos!J64)</f>
        <v/>
      </c>
      <c r="C63" s="55" t="n">
        <f>Requisitos!E64</f>
        <v>4</v>
      </c>
      <c r="D63" s="55" t="n">
        <f>IF(ISBLANK(Requisitos!O64),"",Requisitos!O64)</f>
        <v>0</v>
      </c>
      <c r="E63" s="55" t="n">
        <f>Requisitos!P64</f>
        <v>0</v>
      </c>
      <c r="F63" s="109" t="str">
        <f>IF(AND(B63&lt;&gt;"",OR(COUNTIF('Subitens RF-P'!G49:G52,"Sim")+COUNTIF('Subitens RF-P'!G49:G52,"Não")&lt;4,IF(AND('Subitens RF-P'!G49="Sim",OR('Subitens RF-P'!E49="",'Subitens RF-P'!F49="")),1,0)+IF(AND('Subitens RF-P'!G50="Sim",OR('Subitens RF-P'!E50="",'Subitens RF-P'!F50="")),1,0)+IF(AND('Subitens RF-P'!G51="Sim",OR('Subitens RF-P'!E51="",'Subitens RF-P'!F51="")),1,0)+IF(AND('Subitens RF-P'!G52="Sim",OR('Subitens RF-P'!E52="",'Subitens RF-P'!F52="")),1,0)&gt;0)),"PENDENTE",IF(OR(Requisitos!N64="Pendente de diligência limitada",Requisitos!N64="Inaplicabilidade não resolvida"),"PENDENTE",IF(AND(B63&lt;&gt;"",OR(LEN(TRIM(Requisitos!K64&amp;""))=0,LEN(TRIM(Requisitos!L64&amp;""))=0,LEN(TRIM(Requisitos!M64&amp;""))=0,LEN(TRIM(Requisitos!Q64&amp;""))=0)),"PENDENTE",IF(AND(LEN(D63&amp;"")&gt;0,NOT(ISNUMBER(D63))),"INCONSISTENTE",IF(AND(ISNUMBER(D63),OR(D63&lt;0,D63&gt;C63)),"INCONSISTENTE",IF(OR(B63="",B63="Atende mediante configuração ou parametrização",B63="Atende mediante integração",B63="Depende de diligência ou comprovação complementar",B63="Depende de PoC ou validação técnica"),IF(AND(ISNUMBER(D63),D63&gt;0),"INCONSISTENTE","PENDENTE"),IF(B63="Atende integralmente",IF(C63=0,"OK",IF(NOT(ISNUMBER(D63)),"PENDENTE",IF(D63=C63,"OK","INCONSISTENTE"))),IF(B63="Atende parcialmente",IF(NOT(ISNUMBER(D63)),"PENDENTE",IF(OR(D63=0,D63=1,D63=2,D63=3),"OK","INCONSISTENTE")),IF(B63="Não atende",IF(OR(NOT(ISNUMBER(D63)),D63=0),"OK","INCONSISTENTE"),"INCONSISTENTE")))))))))</f>
        <v>PENDENTE</v>
      </c>
      <c r="G63" s="55" t="inlineStr">
        <is>
          <t>Gradação expressa por subitem preservada. Parcial: somente soma dos pesos dos subitens comprovados, inferior ao peso do bloco. Registrar evidências. Subtotais possíveis: 0, 1, 2, 3.</t>
        </is>
      </c>
      <c r="H63" s="71" t="n"/>
      <c r="I63" s="71" t="n"/>
    </row>
    <row r="64" ht="82" customHeight="1" s="37">
      <c r="A64" s="55" t="str">
        <f>Requisitos!A65</f>
        <v>RF-P-016</v>
      </c>
      <c r="B64" s="55" t="str">
        <f>IF(Requisitos!J65="","",Requisitos!J65)</f>
        <v/>
      </c>
      <c r="C64" s="55" t="n">
        <f>Requisitos!E65</f>
        <v>5</v>
      </c>
      <c r="D64" s="55" t="n">
        <f>IF(ISBLANK(Requisitos!O65),"",Requisitos!O65)</f>
        <v>0</v>
      </c>
      <c r="E64" s="55" t="n">
        <f>Requisitos!P65</f>
        <v>0</v>
      </c>
      <c r="F64" s="109" t="str">
        <f>IF(AND(B64&lt;&gt;"",OR(COUNTIF('Subitens RF-P'!G53:G54,"Sim")+COUNTIF('Subitens RF-P'!G53:G54,"Não")&lt;2,IF(AND('Subitens RF-P'!G53="Sim",OR('Subitens RF-P'!E53="",'Subitens RF-P'!F53="")),1,0)+IF(AND('Subitens RF-P'!G54="Sim",OR('Subitens RF-P'!E54="",'Subitens RF-P'!F54="")),1,0)&gt;0)),"PENDENTE",IF(OR(Requisitos!N65="Pendente de diligência limitada",Requisitos!N65="Inaplicabilidade não resolvida"),"PENDENTE",IF(AND(B64&lt;&gt;"",OR(LEN(TRIM(Requisitos!K65&amp;""))=0,LEN(TRIM(Requisitos!L65&amp;""))=0,LEN(TRIM(Requisitos!M65&amp;""))=0,LEN(TRIM(Requisitos!Q65&amp;""))=0)),"PENDENTE",IF(AND(LEN(D64&amp;"")&gt;0,NOT(ISNUMBER(D64))),"INCONSISTENTE",IF(AND(ISNUMBER(D64),OR(D64&lt;0,D64&gt;C64)),"INCONSISTENTE",IF(OR(B64="",B64="Atende mediante configuração ou parametrização",B64="Atende mediante integração",B64="Depende de diligência ou comprovação complementar",B64="Depende de PoC ou validação técnica"),IF(AND(ISNUMBER(D64),D64&gt;0),"INCONSISTENTE","PENDENTE"),IF(B64="Atende integralmente",IF(C64=0,"OK",IF(NOT(ISNUMBER(D64)),"PENDENTE",IF(D64=C64,"OK","INCONSISTENTE"))),IF(B64="Atende parcialmente",IF(NOT(ISNUMBER(D64)),"PENDENTE",IF(OR(D64=0,D64=2,D64=3),"OK","INCONSISTENTE")),IF(B64="Não atende",IF(OR(NOT(ISNUMBER(D64)),D64=0),"OK","INCONSISTENTE"),"INCONSISTENTE")))))))))</f>
        <v>PENDENTE</v>
      </c>
      <c r="G64" s="55" t="inlineStr">
        <is>
          <t>Gradação expressa por subitem preservada. Parcial: somente soma dos pesos dos subitens comprovados, inferior ao peso do bloco. Registrar evidências. Subtotais possíveis: 0, 2, 3.</t>
        </is>
      </c>
      <c r="H64" s="71" t="n"/>
      <c r="I64" s="71" t="n"/>
    </row>
    <row r="65" ht="82" customHeight="1" s="37">
      <c r="A65" s="55" t="str">
        <f>Requisitos!A66</f>
        <v>RF-P-017</v>
      </c>
      <c r="B65" s="55" t="str">
        <f>IF(Requisitos!J66="","",Requisitos!J66)</f>
        <v/>
      </c>
      <c r="C65" s="55" t="n">
        <f>Requisitos!E66</f>
        <v>5</v>
      </c>
      <c r="D65" s="55" t="n">
        <f>IF(ISBLANK(Requisitos!O66),"",Requisitos!O66)</f>
        <v>0</v>
      </c>
      <c r="E65" s="55" t="n">
        <f>Requisitos!P66</f>
        <v>0</v>
      </c>
      <c r="F65" s="109" t="str">
        <f>IF(AND(B65&lt;&gt;"",OR(COUNTIF('Subitens RF-P'!G55:G57,"Sim")+COUNTIF('Subitens RF-P'!G55:G57,"Não")&lt;3,IF(AND('Subitens RF-P'!G55="Sim",OR('Subitens RF-P'!E55="",'Subitens RF-P'!F55="")),1,0)+IF(AND('Subitens RF-P'!G56="Sim",OR('Subitens RF-P'!E56="",'Subitens RF-P'!F56="")),1,0)+IF(AND('Subitens RF-P'!G57="Sim",OR('Subitens RF-P'!E57="",'Subitens RF-P'!F57="")),1,0)&gt;0)),"PENDENTE",IF(OR(Requisitos!N66="Pendente de diligência limitada",Requisitos!N66="Inaplicabilidade não resolvida"),"PENDENTE",IF(AND(B65&lt;&gt;"",OR(LEN(TRIM(Requisitos!K66&amp;""))=0,LEN(TRIM(Requisitos!L66&amp;""))=0,LEN(TRIM(Requisitos!M66&amp;""))=0,LEN(TRIM(Requisitos!Q66&amp;""))=0)),"PENDENTE",IF(AND(LEN(D65&amp;"")&gt;0,NOT(ISNUMBER(D65))),"INCONSISTENTE",IF(AND(ISNUMBER(D65),OR(D65&lt;0,D65&gt;C65)),"INCONSISTENTE",IF(OR(B65="",B65="Atende mediante configuração ou parametrização",B65="Atende mediante integração",B65="Depende de diligência ou comprovação complementar",B65="Depende de PoC ou validação técnica"),IF(AND(ISNUMBER(D65),D65&gt;0),"INCONSISTENTE","PENDENTE"),IF(B65="Atende integralmente",IF(C65=0,"OK",IF(NOT(ISNUMBER(D65)),"PENDENTE",IF(D65=C65,"OK","INCONSISTENTE"))),IF(B65="Atende parcialmente",IF(NOT(ISNUMBER(D65)),"PENDENTE",IF(OR(D65=0,D65=1,D65=2,D65=3,D65=4),"OK","INCONSISTENTE")),IF(B65="Não atende",IF(OR(NOT(ISNUMBER(D65)),D65=0),"OK","INCONSISTENTE"),"INCONSISTENTE")))))))))</f>
        <v>PENDENTE</v>
      </c>
      <c r="G65" s="55" t="inlineStr">
        <is>
          <t>Gradação expressa por subitem preservada. Parcial: somente soma dos pesos dos subitens comprovados, inferior ao peso do bloco. Registrar evidências. Subtotais possíveis: 0, 1, 2, 3, 4.</t>
        </is>
      </c>
      <c r="H65" s="71" t="n"/>
      <c r="I65" s="71" t="n"/>
    </row>
    <row r="66" ht="82" customHeight="1" s="37">
      <c r="A66" s="55" t="str">
        <f>Requisitos!A67</f>
        <v>RF-P-018</v>
      </c>
      <c r="B66" s="55" t="str">
        <f>IF(Requisitos!J67="","",Requisitos!J67)</f>
        <v/>
      </c>
      <c r="C66" s="55" t="n">
        <f>Requisitos!E67</f>
        <v>3</v>
      </c>
      <c r="D66" s="55" t="n">
        <f>IF(ISBLANK(Requisitos!O67),"",Requisitos!O67)</f>
        <v>0</v>
      </c>
      <c r="E66" s="55" t="n">
        <f>Requisitos!P67</f>
        <v>0</v>
      </c>
      <c r="F66" s="109" t="str">
        <f>IF(AND(B66&lt;&gt;"",OR(COUNTIF('Subitens RF-P'!G58:G60,"Sim")+COUNTIF('Subitens RF-P'!G58:G60,"Não")&lt;3,IF(AND('Subitens RF-P'!G58="Sim",OR('Subitens RF-P'!E58="",'Subitens RF-P'!F58="")),1,0)+IF(AND('Subitens RF-P'!G59="Sim",OR('Subitens RF-P'!E59="",'Subitens RF-P'!F59="")),1,0)+IF(AND('Subitens RF-P'!G60="Sim",OR('Subitens RF-P'!E60="",'Subitens RF-P'!F60="")),1,0)&gt;0)),"PENDENTE",IF(OR(Requisitos!N67="Pendente de diligência limitada",Requisitos!N67="Inaplicabilidade não resolvida"),"PENDENTE",IF(AND(B66&lt;&gt;"",OR(LEN(TRIM(Requisitos!K67&amp;""))=0,LEN(TRIM(Requisitos!L67&amp;""))=0,LEN(TRIM(Requisitos!M67&amp;""))=0,LEN(TRIM(Requisitos!Q67&amp;""))=0)),"PENDENTE",IF(AND(LEN(D66&amp;"")&gt;0,NOT(ISNUMBER(D66))),"INCONSISTENTE",IF(AND(ISNUMBER(D66),OR(D66&lt;0,D66&gt;C66)),"INCONSISTENTE",IF(OR(B66="",B66="Atende mediante configuração ou parametrização",B66="Atende mediante integração",B66="Depende de diligência ou comprovação complementar",B66="Depende de PoC ou validação técnica"),IF(AND(ISNUMBER(D66),D66&gt;0),"INCONSISTENTE","PENDENTE"),IF(B66="Atende integralmente",IF(C66=0,"OK",IF(NOT(ISNUMBER(D66)),"PENDENTE",IF(D66=C66,"OK","INCONSISTENTE"))),IF(B66="Atende parcialmente",IF(NOT(ISNUMBER(D66)),"PENDENTE",IF(OR(D66=0,D66=1,D66=2),"OK","INCONSISTENTE")),IF(B66="Não atende",IF(OR(NOT(ISNUMBER(D66)),D66=0),"OK","INCONSISTENTE"),"INCONSISTENTE")))))))))</f>
        <v>PENDENTE</v>
      </c>
      <c r="G66" s="55" t="inlineStr">
        <is>
          <t>Gradação expressa por subitem preservada. Parcial: somente soma dos pesos dos subitens comprovados, inferior ao peso do bloco. Registrar evidências. Subtotais possíveis: 0, 1, 2.</t>
        </is>
      </c>
      <c r="H66" s="71" t="n"/>
      <c r="I66" s="71" t="n"/>
    </row>
    <row r="67" ht="82" customHeight="1" s="37">
      <c r="A67" s="55" t="str">
        <f>Requisitos!A68</f>
        <v>RF-P-019</v>
      </c>
      <c r="B67" s="55" t="str">
        <f>IF(Requisitos!J68="","",Requisitos!J68)</f>
        <v/>
      </c>
      <c r="C67" s="55" t="n">
        <f>Requisitos!E68</f>
        <v>5</v>
      </c>
      <c r="D67" s="55" t="n">
        <f>IF(ISBLANK(Requisitos!O68),"",Requisitos!O68)</f>
        <v>0</v>
      </c>
      <c r="E67" s="55" t="n">
        <f>Requisitos!P68</f>
        <v>0</v>
      </c>
      <c r="F67" s="109" t="str">
        <f>IF(AND(B67&lt;&gt;"",OR(COUNTIF('Subitens RF-P'!G61:G63,"Sim")+COUNTIF('Subitens RF-P'!G61:G63,"Não")&lt;3,IF(AND('Subitens RF-P'!G61="Sim",OR('Subitens RF-P'!E61="",'Subitens RF-P'!F61="")),1,0)+IF(AND('Subitens RF-P'!G62="Sim",OR('Subitens RF-P'!E62="",'Subitens RF-P'!F62="")),1,0)+IF(AND('Subitens RF-P'!G63="Sim",OR('Subitens RF-P'!E63="",'Subitens RF-P'!F63="")),1,0)&gt;0)),"PENDENTE",IF(OR(Requisitos!N68="Pendente de diligência limitada",Requisitos!N68="Inaplicabilidade não resolvida"),"PENDENTE",IF(AND(B67&lt;&gt;"",OR(LEN(TRIM(Requisitos!K68&amp;""))=0,LEN(TRIM(Requisitos!L68&amp;""))=0,LEN(TRIM(Requisitos!M68&amp;""))=0,LEN(TRIM(Requisitos!Q68&amp;""))=0)),"PENDENTE",IF(AND(LEN(D67&amp;"")&gt;0,NOT(ISNUMBER(D67))),"INCONSISTENTE",IF(AND(ISNUMBER(D67),OR(D67&lt;0,D67&gt;C67)),"INCONSISTENTE",IF(OR(B67="",B67="Atende mediante configuração ou parametrização",B67="Atende mediante integração",B67="Depende de diligência ou comprovação complementar",B67="Depende de PoC ou validação técnica"),IF(AND(ISNUMBER(D67),D67&gt;0),"INCONSISTENTE","PENDENTE"),IF(B67="Atende integralmente",IF(C67=0,"OK",IF(NOT(ISNUMBER(D67)),"PENDENTE",IF(D67=C67,"OK","INCONSISTENTE"))),IF(B67="Atende parcialmente",IF(NOT(ISNUMBER(D67)),"PENDENTE",IF(OR(D67=0,D67=1,D67=2,D67=3,D67=4),"OK","INCONSISTENTE")),IF(B67="Não atende",IF(OR(NOT(ISNUMBER(D67)),D67=0),"OK","INCONSISTENTE"),"INCONSISTENTE")))))))))</f>
        <v>PENDENTE</v>
      </c>
      <c r="G67" s="55" t="inlineStr">
        <is>
          <t>Gradação expressa por subitem preservada. Parcial: somente soma dos pesos dos subitens comprovados, inferior ao peso do bloco. Registrar evidências. Subtotais possíveis: 0, 1, 2, 3, 4.</t>
        </is>
      </c>
      <c r="H67" s="71" t="n"/>
      <c r="I67" s="71" t="n"/>
    </row>
    <row r="68" ht="82" customHeight="1" s="37">
      <c r="A68" s="55" t="str">
        <f>Requisitos!A69</f>
        <v>RF-P-020</v>
      </c>
      <c r="B68" s="55" t="str">
        <f>IF(Requisitos!J69="","",Requisitos!J69)</f>
        <v/>
      </c>
      <c r="C68" s="55" t="n">
        <f>Requisitos!E69</f>
        <v>3</v>
      </c>
      <c r="D68" s="55" t="n">
        <f>IF(ISBLANK(Requisitos!O69),"",Requisitos!O69)</f>
        <v>0</v>
      </c>
      <c r="E68" s="55" t="n">
        <f>Requisitos!P69</f>
        <v>0</v>
      </c>
      <c r="F68" s="109" t="str">
        <f>IF(AND(B68&lt;&gt;"",OR(COUNTIF('Subitens RF-P'!G64:G64,"Sim")+COUNTIF('Subitens RF-P'!G64:G64,"Não")&lt;1,IF(AND('Subitens RF-P'!G64="Sim",OR('Subitens RF-P'!E64="",'Subitens RF-P'!F64="")),1,0)&gt;0)),"PENDENTE",IF(OR(Requisitos!N69="Pendente de diligência limitada",Requisitos!N69="Inaplicabilidade não resolvida"),"PENDENTE",IF(AND(B68&lt;&gt;"",OR(LEN(TRIM(Requisitos!K69&amp;""))=0,LEN(TRIM(Requisitos!L69&amp;""))=0,LEN(TRIM(Requisitos!M69&amp;""))=0,LEN(TRIM(Requisitos!Q69&amp;""))=0)),"PENDENTE",IF(AND(LEN(D68&amp;"")&gt;0,NOT(ISNUMBER(D68))),"INCONSISTENTE",IF(AND(ISNUMBER(D68),OR(D68&lt;0,D68&gt;C68)),"INCONSISTENTE",IF(OR(B68="",B68="Atende mediante configuração ou parametrização",B68="Atende mediante integração",B68="Depende de diligência ou comprovação complementar",B68="Depende de PoC ou validação técnica"),IF(AND(ISNUMBER(D68),D68&gt;0),"INCONSISTENTE","PENDENTE"),IF(B68="Atende integralmente",IF(C68=0,"OK",IF(NOT(ISNUMBER(D68)),"PENDENTE",IF(D68=C68,"OK","INCONSISTENTE"))),IF(B68="Atende parcialmente",IF(NOT(ISNUMBER(D68)),"PENDENTE",IF(OR(D68=0),"OK","INCONSISTENTE")),IF(B68="Não atende",IF(OR(NOT(ISNUMBER(D68)),D68=0),"OK","INCONSISTENTE"),"INCONSISTENTE")))))))))</f>
        <v>PENDENTE</v>
      </c>
      <c r="G68" s="55" t="inlineStr">
        <is>
          <t>Gradação expressa por subitem preservada. Parcial: somente soma dos pesos dos subitens comprovados, inferior ao peso do bloco. Registrar evidências. Subtotais possíveis: 0.</t>
        </is>
      </c>
      <c r="H68" s="71" t="n"/>
      <c r="I68" s="71" t="n"/>
    </row>
    <row r="69" ht="82" customHeight="1" s="37">
      <c r="A69" s="55" t="str">
        <f>Requisitos!A70</f>
        <v>RF-P-021</v>
      </c>
      <c r="B69" s="55" t="str">
        <f>IF(Requisitos!J70="","",Requisitos!J70)</f>
        <v/>
      </c>
      <c r="C69" s="55" t="n">
        <f>Requisitos!E70</f>
        <v>3</v>
      </c>
      <c r="D69" s="55" t="n">
        <f>IF(ISBLANK(Requisitos!O70),"",Requisitos!O70)</f>
        <v>0</v>
      </c>
      <c r="E69" s="55" t="n">
        <f>Requisitos!P70</f>
        <v>0</v>
      </c>
      <c r="F69" s="109" t="str">
        <f>IF(AND(B69&lt;&gt;"",OR(COUNTIF('Subitens RF-P'!G65:G65,"Sim")+COUNTIF('Subitens RF-P'!G65:G65,"Não")&lt;1,IF(AND('Subitens RF-P'!G65="Sim",OR('Subitens RF-P'!E65="",'Subitens RF-P'!F65="")),1,0)&gt;0)),"PENDENTE",IF(OR(Requisitos!N70="Pendente de diligência limitada",Requisitos!N70="Inaplicabilidade não resolvida"),"PENDENTE",IF(AND(B69&lt;&gt;"",OR(LEN(TRIM(Requisitos!K70&amp;""))=0,LEN(TRIM(Requisitos!L70&amp;""))=0,LEN(TRIM(Requisitos!M70&amp;""))=0,LEN(TRIM(Requisitos!Q70&amp;""))=0)),"PENDENTE",IF(AND(LEN(D69&amp;"")&gt;0,NOT(ISNUMBER(D69))),"INCONSISTENTE",IF(AND(ISNUMBER(D69),OR(D69&lt;0,D69&gt;C69)),"INCONSISTENTE",IF(OR(B69="",B69="Atende mediante configuração ou parametrização",B69="Atende mediante integração",B69="Depende de diligência ou comprovação complementar",B69="Depende de PoC ou validação técnica"),IF(AND(ISNUMBER(D69),D69&gt;0),"INCONSISTENTE","PENDENTE"),IF(B69="Atende integralmente",IF(C69=0,"OK",IF(NOT(ISNUMBER(D69)),"PENDENTE",IF(D69=C69,"OK","INCONSISTENTE"))),IF(B69="Atende parcialmente",IF(NOT(ISNUMBER(D69)),"PENDENTE",IF(OR(D69=0),"OK","INCONSISTENTE")),IF(B69="Não atende",IF(OR(NOT(ISNUMBER(D69)),D69=0),"OK","INCONSISTENTE"),"INCONSISTENTE")))))))))</f>
        <v>PENDENTE</v>
      </c>
      <c r="G69" s="55" t="inlineStr">
        <is>
          <t>Gradação expressa por subitem preservada. Parcial: somente soma dos pesos dos subitens comprovados, inferior ao peso do bloco. Registrar evidências. Subtotais possíveis: 0.</t>
        </is>
      </c>
      <c r="H69" s="71" t="n"/>
      <c r="I69" s="71" t="n"/>
    </row>
    <row r="70" ht="82" customHeight="1" s="37">
      <c r="A70" s="55" t="str">
        <f>Requisitos!A71</f>
        <v>RF-P-022</v>
      </c>
      <c r="B70" s="55" t="str">
        <f>IF(Requisitos!J71="","",Requisitos!J71)</f>
        <v/>
      </c>
      <c r="C70" s="55" t="n">
        <f>Requisitos!E71</f>
        <v>2</v>
      </c>
      <c r="D70" s="55" t="n">
        <f>IF(ISBLANK(Requisitos!O71),"",Requisitos!O71)</f>
        <v>0</v>
      </c>
      <c r="E70" s="55" t="n">
        <f>Requisitos!P71</f>
        <v>0</v>
      </c>
      <c r="F70" s="109" t="str">
        <f>IF(AND(B70&lt;&gt;"",OR(COUNTIF('Subitens RF-P'!G66:G66,"Sim")+COUNTIF('Subitens RF-P'!G66:G66,"Não")&lt;1,IF(AND('Subitens RF-P'!G66="Sim",OR('Subitens RF-P'!E66="",'Subitens RF-P'!F66="")),1,0)&gt;0)),"PENDENTE",IF(OR(Requisitos!N71="Pendente de diligência limitada",Requisitos!N71="Inaplicabilidade não resolvida"),"PENDENTE",IF(AND(B70&lt;&gt;"",OR(LEN(TRIM(Requisitos!K71&amp;""))=0,LEN(TRIM(Requisitos!L71&amp;""))=0,LEN(TRIM(Requisitos!M71&amp;""))=0,LEN(TRIM(Requisitos!Q71&amp;""))=0)),"PENDENTE",IF(AND(LEN(D70&amp;"")&gt;0,NOT(ISNUMBER(D70))),"INCONSISTENTE",IF(AND(ISNUMBER(D70),OR(D70&lt;0,D70&gt;C70)),"INCONSISTENTE",IF(OR(B70="",B70="Atende mediante configuração ou parametrização",B70="Atende mediante integração",B70="Depende de diligência ou comprovação complementar",B70="Depende de PoC ou validação técnica"),IF(AND(ISNUMBER(D70),D70&gt;0),"INCONSISTENTE","PENDENTE"),IF(B70="Atende integralmente",IF(C70=0,"OK",IF(NOT(ISNUMBER(D70)),"PENDENTE",IF(D70=C70,"OK","INCONSISTENTE"))),IF(B70="Atende parcialmente",IF(NOT(ISNUMBER(D70)),"PENDENTE",IF(OR(D70=0),"OK","INCONSISTENTE")),IF(B70="Não atende",IF(OR(NOT(ISNUMBER(D70)),D70=0),"OK","INCONSISTENTE"),"INCONSISTENTE")))))))))</f>
        <v>PENDENTE</v>
      </c>
      <c r="G70" s="55" t="inlineStr">
        <is>
          <t>Gradação expressa por subitem preservada. Parcial: somente soma dos pesos dos subitens comprovados, inferior ao peso do bloco. Registrar evidências. Subtotais possíveis: 0.</t>
        </is>
      </c>
      <c r="H70" s="71" t="n"/>
      <c r="I70" s="71" t="n"/>
    </row>
    <row r="71" ht="82" customHeight="1" s="37">
      <c r="A71" s="55" t="str">
        <f>Requisitos!A72</f>
        <v>RF-P-023</v>
      </c>
      <c r="B71" s="55" t="str">
        <f>IF(Requisitos!J72="","",Requisitos!J72)</f>
        <v/>
      </c>
      <c r="C71" s="55" t="n">
        <f>Requisitos!E72</f>
        <v>3</v>
      </c>
      <c r="D71" s="55" t="n">
        <f>IF(ISBLANK(Requisitos!O72),"",Requisitos!O72)</f>
        <v>0</v>
      </c>
      <c r="E71" s="55" t="n">
        <f>Requisitos!P72</f>
        <v>0</v>
      </c>
      <c r="F71" s="109" t="str">
        <f>IF(AND(B71&lt;&gt;"",OR(COUNTIF('Subitens RF-P'!G67:G67,"Sim")+COUNTIF('Subitens RF-P'!G67:G67,"Não")&lt;1,IF(AND('Subitens RF-P'!G67="Sim",OR('Subitens RF-P'!E67="",'Subitens RF-P'!F67="")),1,0)&gt;0)),"PENDENTE",IF(OR(Requisitos!N72="Pendente de diligência limitada",Requisitos!N72="Inaplicabilidade não resolvida"),"PENDENTE",IF(AND(B71&lt;&gt;"",OR(LEN(TRIM(Requisitos!K72&amp;""))=0,LEN(TRIM(Requisitos!L72&amp;""))=0,LEN(TRIM(Requisitos!M72&amp;""))=0,LEN(TRIM(Requisitos!Q72&amp;""))=0)),"PENDENTE",IF(AND(LEN(D71&amp;"")&gt;0,NOT(ISNUMBER(D71))),"INCONSISTENTE",IF(AND(ISNUMBER(D71),OR(D71&lt;0,D71&gt;C71)),"INCONSISTENTE",IF(OR(B71="",B71="Atende mediante configuração ou parametrização",B71="Atende mediante integração",B71="Depende de diligência ou comprovação complementar",B71="Depende de PoC ou validação técnica"),IF(AND(ISNUMBER(D71),D71&gt;0),"INCONSISTENTE","PENDENTE"),IF(B71="Atende integralmente",IF(C71=0,"OK",IF(NOT(ISNUMBER(D71)),"PENDENTE",IF(D71=C71,"OK","INCONSISTENTE"))),IF(B71="Atende parcialmente",IF(NOT(ISNUMBER(D71)),"PENDENTE",IF(OR(D71=0),"OK","INCONSISTENTE")),IF(B71="Não atende",IF(OR(NOT(ISNUMBER(D71)),D71=0),"OK","INCONSISTENTE"),"INCONSISTENTE")))))))))</f>
        <v>PENDENTE</v>
      </c>
      <c r="G71" s="55" t="inlineStr">
        <is>
          <t>Gradação expressa por subitem preservada. Parcial: somente soma dos pesos dos subitens comprovados, inferior ao peso do bloco. Registrar evidências. Subtotais possíveis: 0.</t>
        </is>
      </c>
      <c r="H71" s="71" t="n"/>
      <c r="I71" s="71" t="n"/>
    </row>
    <row r="72">
      <c r="A72" s="71" t="n"/>
      <c r="B72" s="71" t="n"/>
      <c r="C72" s="71" t="n"/>
      <c r="D72" s="71" t="n"/>
      <c r="E72" s="71" t="n"/>
      <c r="F72" s="71" t="n"/>
      <c r="G72" s="71" t="n"/>
      <c r="H72" s="71" t="n"/>
      <c r="I72" s="71" t="n"/>
    </row>
    <row r="73">
      <c r="A73" s="71" t="inlineStr">
        <is>
          <t>Pendentes</t>
        </is>
      </c>
      <c r="B73" s="71" t="n">
        <f>COUNTIF(F6:F71,"PENDENTE")</f>
        <v>65</v>
      </c>
      <c r="C73" s="71" t="n"/>
      <c r="D73" s="71" t="n"/>
      <c r="E73" s="71" t="n"/>
      <c r="F73" s="71" t="n"/>
      <c r="G73" s="71" t="n"/>
      <c r="H73" s="71" t="n"/>
      <c r="I73" s="71" t="n"/>
    </row>
    <row r="74">
      <c r="A74" s="71" t="inlineStr">
        <is>
          <t>Inconsistentes</t>
        </is>
      </c>
      <c r="B74" s="71" t="n">
        <f>COUNTIF(F6:F71,"INCONSISTENTE")</f>
        <v>0</v>
      </c>
      <c r="C74" s="71" t="n"/>
      <c r="D74" s="71" t="n"/>
      <c r="E74" s="71" t="n"/>
      <c r="F74" s="71" t="n"/>
      <c r="G74" s="71" t="n"/>
      <c r="H74" s="71" t="n"/>
      <c r="I74" s="71" t="n"/>
    </row>
  </sheetData>
  <sheetProtection selectLockedCells="0" selectUnlockedCells="0" sheet="1" objects="0" insertRows="1" insertHyperlinks="1" autoFilter="0" scenarios="0" formatColumns="1" deleteColumns="1" insertColumns="1" pivotTables="1" deleteRows="1" formatCells="1" formatRows="1" sort="0"/>
  <autoFilter ref="A5:G71"/>
  <mergeCells count="2">
    <mergeCell ref="A1:G1"/>
    <mergeCell ref="A2:G3"/>
  </mergeCells>
  <printOptions horizontalCentered="1"/>
  <pageMargins left="0.75" right="0.75" top="1" bottom="1" header="0.5" footer="0.5"/>
  <pageSetup orientation="landscape" paperSize="8" fitToHeight="0" fitToWidth="1"/>
</worksheet>
</file>

<file path=xl/worksheets/sheet6.xml><?xml version="1.0" encoding="utf-8"?>
<worksheet xmlns="http://schemas.openxmlformats.org/spreadsheetml/2006/main">
  <sheetPr>
    <outlinePr summaryBelow="1" summaryRight="1"/>
    <pageSetUpPr fitToPage="1"/>
  </sheetPr>
  <dimension ref="A1:H67"/>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15" customWidth="1" style="37" min="1" max="1"/>
    <col width="13" customWidth="1" style="37" min="2" max="2"/>
    <col width="12" customWidth="1" style="37" min="3" max="3"/>
    <col width="80" customWidth="1" style="37" min="4" max="4"/>
    <col width="43" customWidth="1" style="37" min="5" max="5"/>
    <col width="21" customWidth="1" style="37" min="6" max="6"/>
    <col width="20" customWidth="1" style="37" min="7" max="7"/>
    <col width="14" customWidth="1" style="37" min="8" max="8"/>
  </cols>
  <sheetData>
    <row r="1" ht="32" customHeight="1" s="37">
      <c r="A1" s="101" t="inlineStr">
        <is>
          <t>SUBITENS RF-P: APOIO AO REGISTRO DA PONTUAÇÃO</t>
        </is>
      </c>
    </row>
    <row r="2" ht="28" customHeight="1" s="37">
      <c r="A2" s="55" t="inlineStr">
        <is>
          <t>Os 62 subitens e seus pesos são transcritos da matriz original. Esta aba não cria requisito nem roteiro de PoC. Registre a comprovação e confira a soma antes de lançar os pontos e a situação do bloco na aba Requisitos.</t>
        </is>
      </c>
    </row>
    <row r="3" ht="28" customHeight="1" s="37"/>
    <row r="4">
      <c r="A4" s="71" t="n"/>
      <c r="B4" s="71" t="n"/>
      <c r="C4" s="71" t="n"/>
      <c r="D4" s="71" t="n"/>
      <c r="E4" s="71" t="n"/>
      <c r="F4" s="71" t="n"/>
      <c r="G4" s="71" t="n"/>
      <c r="H4" s="71" t="n"/>
    </row>
    <row r="5" ht="42" customHeight="1" s="37">
      <c r="A5" s="106" t="inlineStr">
        <is>
          <t>Código RF-P</t>
        </is>
      </c>
      <c r="B5" s="106" t="inlineStr">
        <is>
          <t>Registro auxiliar</t>
        </is>
      </c>
      <c r="C5" s="106" t="inlineStr">
        <is>
          <t>Peso original</t>
        </is>
      </c>
      <c r="D5" s="106" t="inlineStr">
        <is>
          <t>Texto do subitem</t>
        </is>
      </c>
      <c r="E5" s="106" t="inlineStr">
        <is>
          <t>Evidência / documento</t>
        </is>
      </c>
      <c r="F5" s="106" t="inlineStr">
        <is>
          <t>Página / seção</t>
        </is>
      </c>
      <c r="G5" s="121" t="inlineStr">
        <is>
          <t>Comprovado pela Comissão?</t>
        </is>
      </c>
      <c r="H5" s="106" t="inlineStr">
        <is>
          <t>Pontos de apoio</t>
        </is>
      </c>
    </row>
    <row r="6" ht="100" customHeight="1" s="37">
      <c r="A6" s="55" t="inlineStr">
        <is>
          <t>RF-P-001</t>
        </is>
      </c>
      <c r="B6" s="55" t="n">
        <v>1</v>
      </c>
      <c r="C6" s="55" t="n">
        <v>1</v>
      </c>
      <c r="D6" s="55" t="inlineStr">
        <is>
          <t>Avaliar as configurações de segurança dos sistemas, dispositivos e aplicações em escopo, identificando desvios em relação a boas práticas e padrões reconhecidos de hardening.</t>
        </is>
      </c>
      <c r="E6" s="57" t="n"/>
      <c r="F6" s="57" t="n"/>
      <c r="G6" s="57" t="n"/>
      <c r="H6" s="109" t="n">
        <f>IF(AND(G6="Sim",LEN(TRIM(E6&amp;""))&gt;0,LEN(TRIM(F6&amp;""))&gt;0),C6,0)</f>
        <v>0</v>
      </c>
    </row>
    <row r="7" ht="100" customHeight="1" s="37">
      <c r="A7" s="55" t="inlineStr">
        <is>
          <t>RF-P-001</t>
        </is>
      </c>
      <c r="B7" s="55" t="n">
        <v>2</v>
      </c>
      <c r="C7" s="55" t="n">
        <v>1</v>
      </c>
      <c r="D7" s="55" t="inlineStr">
        <is>
          <t>Fornecer recomendações práticas de configurações seguras alinhadas à realidade operacional do InPACTA/Cliente, considerando as restrições técnicas, funcionais e de negócio de cada ambiente.</t>
        </is>
      </c>
      <c r="E7" s="57" t="n"/>
      <c r="F7" s="57" t="n"/>
      <c r="G7" s="57" t="n"/>
      <c r="H7" s="109" t="n">
        <f>IF(AND(G7="Sim",LEN(TRIM(E7&amp;""))&gt;0,LEN(TRIM(F7&amp;""))&gt;0),C7,0)</f>
        <v>0</v>
      </c>
    </row>
    <row r="8" ht="100" customHeight="1" s="37">
      <c r="A8" s="55" t="inlineStr">
        <is>
          <t>RF-P-001</t>
        </is>
      </c>
      <c r="B8" s="55" t="n">
        <v>3</v>
      </c>
      <c r="C8" s="55" t="n">
        <v>1</v>
      </c>
      <c r="D8" s="55" t="inlineStr">
        <is>
          <t>Priorizar as recomendações de hardening com base no risco associado a cada desvio identificado, orientando a equipe técnica do InPACTA/Cliente sobre as ações de maior impacto na redução da superfície de ataque.</t>
        </is>
      </c>
      <c r="E8" s="57" t="n"/>
      <c r="F8" s="57" t="n"/>
      <c r="G8" s="57" t="n"/>
      <c r="H8" s="109" t="n">
        <f>IF(AND(G8="Sim",LEN(TRIM(E8&amp;""))&gt;0,LEN(TRIM(F8&amp;""))&gt;0),C8,0)</f>
        <v>0</v>
      </c>
    </row>
    <row r="9" ht="100" customHeight="1" s="37">
      <c r="A9" s="55" t="inlineStr">
        <is>
          <t>RF-P-002</t>
        </is>
      </c>
      <c r="B9" s="55" t="n">
        <v>1</v>
      </c>
      <c r="C9" s="55" t="n">
        <v>1</v>
      </c>
      <c r="D9" s="55" t="inlineStr">
        <is>
          <t>Realizar retestes direcionados após a implementação de correções pelo InPACTA/Cliente, verificando se as vulnerabilidades apontadas foram efetivamente remediadas.</t>
        </is>
      </c>
      <c r="E9" s="57" t="n"/>
      <c r="F9" s="57" t="n"/>
      <c r="G9" s="57" t="n"/>
      <c r="H9" s="109" t="n">
        <f>IF(AND(G9="Sim",LEN(TRIM(E9&amp;""))&gt;0,LEN(TRIM(F9&amp;""))&gt;0),C9,0)</f>
        <v>0</v>
      </c>
    </row>
    <row r="10" ht="100" customHeight="1" s="37">
      <c r="A10" s="55" t="inlineStr">
        <is>
          <t>RF-P-002</t>
        </is>
      </c>
      <c r="B10" s="55" t="n">
        <v>2</v>
      </c>
      <c r="C10" s="55" t="n">
        <v>1</v>
      </c>
      <c r="D10" s="55" t="inlineStr">
        <is>
          <t>Validar a efetividade das medidas adotadas, confirmando que as correções implementadas eliminam o risco identificado sem introduzir novas exposições.</t>
        </is>
      </c>
      <c r="E10" s="57" t="n"/>
      <c r="F10" s="57" t="n"/>
      <c r="G10" s="57" t="n"/>
      <c r="H10" s="109" t="n">
        <f>IF(AND(G10="Sim",LEN(TRIM(E10&amp;""))&gt;0,LEN(TRIM(F10&amp;""))&gt;0),C10,0)</f>
        <v>0</v>
      </c>
    </row>
    <row r="11" ht="100" customHeight="1" s="37">
      <c r="A11" s="55" t="inlineStr">
        <is>
          <t>RF-P-002</t>
        </is>
      </c>
      <c r="B11" s="55" t="n">
        <v>3</v>
      </c>
      <c r="C11" s="55" t="n">
        <v>1</v>
      </c>
      <c r="D11" s="55" t="inlineStr">
        <is>
          <t>Atualizar o status de risco de cada vulnerabilidade com base nos resultados dos retestes, mantendo histórico atualizado da evolução do perfil de segurança do ambiente</t>
        </is>
      </c>
      <c r="E11" s="57" t="n"/>
      <c r="F11" s="57" t="n"/>
      <c r="G11" s="57" t="n"/>
      <c r="H11" s="109" t="n">
        <f>IF(AND(G11="Sim",LEN(TRIM(E11&amp;""))&gt;0,LEN(TRIM(F11&amp;""))&gt;0),C11,0)</f>
        <v>0</v>
      </c>
    </row>
    <row r="12" ht="100" customHeight="1" s="37">
      <c r="A12" s="55" t="inlineStr">
        <is>
          <t>RF-P-003</t>
        </is>
      </c>
      <c r="B12" s="55" t="n">
        <v>1</v>
      </c>
      <c r="C12" s="55" t="n">
        <v>1</v>
      </c>
      <c r="D12" s="55" t="inlineStr">
        <is>
          <t>Realizar monitoramento contínuo do ambiente de TI do InPACTA/Cliente, 24 horas por dia, 7 dias por semana, incluindo finais de semana e feriados, sem interrupção.</t>
        </is>
      </c>
      <c r="E12" s="57" t="n"/>
      <c r="F12" s="57" t="n"/>
      <c r="G12" s="57" t="n"/>
      <c r="H12" s="109" t="n">
        <f>IF(AND(G12="Sim",LEN(TRIM(E12&amp;""))&gt;0,LEN(TRIM(F12&amp;""))&gt;0),C12,0)</f>
        <v>0</v>
      </c>
    </row>
    <row r="13" ht="100" customHeight="1" s="37">
      <c r="A13" s="55" t="inlineStr">
        <is>
          <t>RF-P-003</t>
        </is>
      </c>
      <c r="B13" s="55" t="n">
        <v>2</v>
      </c>
      <c r="C13" s="55" t="n">
        <v>1</v>
      </c>
      <c r="D13" s="55" t="inlineStr">
        <is>
          <t>Realizar triagem e classificação de alertas e incidentes identificados, diferenciando eventos relevantes de ruídos operacionais e priorizando o atendimento conforme o nível de severidade.</t>
        </is>
      </c>
      <c r="E13" s="57" t="n"/>
      <c r="F13" s="57" t="n"/>
      <c r="G13" s="57" t="n"/>
      <c r="H13" s="109" t="n">
        <f>IF(AND(G13="Sim",LEN(TRIM(E13&amp;""))&gt;0,LEN(TRIM(F13&amp;""))&gt;0),C13,0)</f>
        <v>0</v>
      </c>
    </row>
    <row r="14" ht="100" customHeight="1" s="37">
      <c r="A14" s="55" t="inlineStr">
        <is>
          <t>RF-P-003</t>
        </is>
      </c>
      <c r="B14" s="55" t="n">
        <v>3</v>
      </c>
      <c r="C14" s="55" t="n">
        <v>1</v>
      </c>
      <c r="D14" s="55" t="inlineStr">
        <is>
          <t>Registrar e documentar todos os eventos monitorados, mantendo trilha de auditoria completa para fins de análise forense, prestação de contas e conformidade regulatória.</t>
        </is>
      </c>
      <c r="E14" s="57" t="n"/>
      <c r="F14" s="57" t="n"/>
      <c r="G14" s="57" t="n"/>
      <c r="H14" s="109" t="n">
        <f>IF(AND(G14="Sim",LEN(TRIM(E14&amp;""))&gt;0,LEN(TRIM(F14&amp;""))&gt;0),C14,0)</f>
        <v>0</v>
      </c>
    </row>
    <row r="15" ht="100" customHeight="1" s="37">
      <c r="A15" s="55" t="inlineStr">
        <is>
          <t>RF-P-003</t>
        </is>
      </c>
      <c r="B15" s="55" t="n">
        <v>4</v>
      </c>
      <c r="C15" s="55" t="n">
        <v>1</v>
      </c>
      <c r="D15" s="55" t="inlineStr">
        <is>
          <t>Emitir alertas e notificações por nível de severidade, comunicando imediatamente o InPACTA/Cliente sobre incidentes críticos e fornecendo orientações iniciais de contenção.</t>
        </is>
      </c>
      <c r="E15" s="57" t="n"/>
      <c r="F15" s="57" t="n"/>
      <c r="G15" s="57" t="n"/>
      <c r="H15" s="109" t="n">
        <f>IF(AND(G15="Sim",LEN(TRIM(E15&amp;""))&gt;0,LEN(TRIM(F15&amp;""))&gt;0),C15,0)</f>
        <v>0</v>
      </c>
    </row>
    <row r="16" ht="100" customHeight="1" s="37">
      <c r="A16" s="55" t="inlineStr">
        <is>
          <t>RF-P-004</t>
        </is>
      </c>
      <c r="B16" s="55" t="n">
        <v>1</v>
      </c>
      <c r="C16" s="55" t="n">
        <v>2</v>
      </c>
      <c r="D16" s="55" t="inlineStr">
        <is>
          <t>Retornar lista de domínios relacionados a um determinado nome de organização, permitindo o mapeamento completo da presença digital do InPACTA/Cliente.</t>
        </is>
      </c>
      <c r="E16" s="57" t="n"/>
      <c r="F16" s="57" t="n"/>
      <c r="G16" s="57" t="n"/>
      <c r="H16" s="109" t="n">
        <f>IF(AND(G16="Sim",LEN(TRIM(E16&amp;""))&gt;0,LEN(TRIM(F16&amp;""))&gt;0),C16,0)</f>
        <v>0</v>
      </c>
    </row>
    <row r="17" ht="100" customHeight="1" s="37">
      <c r="A17" s="55" t="inlineStr">
        <is>
          <t>RF-P-004</t>
        </is>
      </c>
      <c r="B17" s="55" t="n">
        <v>2</v>
      </c>
      <c r="C17" s="55" t="n">
        <v>1</v>
      </c>
      <c r="D17" s="55" t="inlineStr">
        <is>
          <t>Classificar todos os ativos descobertos em categorias, organizando a superfície de ataque de forma estruturada para priorização.</t>
        </is>
      </c>
      <c r="E17" s="57" t="n"/>
      <c r="F17" s="57" t="n"/>
      <c r="G17" s="57" t="n"/>
      <c r="H17" s="109" t="n">
        <f>IF(AND(G17="Sim",LEN(TRIM(E17&amp;""))&gt;0,LEN(TRIM(F17&amp;""))&gt;0),C17,0)</f>
        <v>0</v>
      </c>
    </row>
    <row r="18" ht="100" customHeight="1" s="37">
      <c r="A18" s="55" t="inlineStr">
        <is>
          <t>RF-P-004</t>
        </is>
      </c>
      <c r="B18" s="55" t="n">
        <v>3</v>
      </c>
      <c r="C18" s="55" t="n">
        <v>1</v>
      </c>
      <c r="D18" s="55" t="inlineStr">
        <is>
          <t>Encontrar domínios relacionados por meio da correspondência de favicons, identificando infraestruturas associadas à organização.</t>
        </is>
      </c>
      <c r="E18" s="57" t="n"/>
      <c r="F18" s="57" t="n"/>
      <c r="G18" s="57" t="n"/>
      <c r="H18" s="109" t="n">
        <f>IF(AND(G18="Sim",LEN(TRIM(E18&amp;""))&gt;0,LEN(TRIM(F18&amp;""))&gt;0),C18,0)</f>
        <v>0</v>
      </c>
    </row>
    <row r="19" ht="100" customHeight="1" s="37">
      <c r="A19" s="55" t="inlineStr">
        <is>
          <t>RF-P-004</t>
        </is>
      </c>
      <c r="B19" s="55" t="n">
        <v>4</v>
      </c>
      <c r="C19" s="55" t="n">
        <v>2</v>
      </c>
      <c r="D19" s="55" t="inlineStr">
        <is>
          <t>Classificar descobertas específicas de acordo com padrões reconhecidos, incluindo divulgação de informações, configurações incorretas e vulnerabilidades conhecidas.</t>
        </is>
      </c>
      <c r="E19" s="57" t="n"/>
      <c r="F19" s="57" t="n"/>
      <c r="G19" s="57" t="n"/>
      <c r="H19" s="109" t="n">
        <f>IF(AND(G19="Sim",LEN(TRIM(E19&amp;""))&gt;0,LEN(TRIM(F19&amp;""))&gt;0),C19,0)</f>
        <v>0</v>
      </c>
    </row>
    <row r="20" ht="100" customHeight="1" s="37">
      <c r="A20" s="55" t="inlineStr">
        <is>
          <t>RF-P-004</t>
        </is>
      </c>
      <c r="B20" s="55" t="n">
        <v>5</v>
      </c>
      <c r="C20" s="55" t="n">
        <v>2</v>
      </c>
      <c r="D20" s="55" t="inlineStr">
        <is>
          <t>Reprocessar recursivamente os resultados para identificar dependências e integrações de terceiros que ampliem a superfície de ataque do InPACTA/Cliente.</t>
        </is>
      </c>
      <c r="E20" s="57" t="n"/>
      <c r="F20" s="57" t="n"/>
      <c r="G20" s="57" t="n"/>
      <c r="H20" s="109" t="n">
        <f>IF(AND(G20="Sim",LEN(TRIM(E20&amp;""))&gt;0,LEN(TRIM(F20&amp;""))&gt;0),C20,0)</f>
        <v>0</v>
      </c>
    </row>
    <row r="21" ht="100" customHeight="1" s="37">
      <c r="A21" s="55" t="inlineStr">
        <is>
          <t>RF-P-005</t>
        </is>
      </c>
      <c r="B21" s="55" t="n">
        <v>1</v>
      </c>
      <c r="C21" s="55" t="n">
        <v>2</v>
      </c>
      <c r="D21" s="55" t="inlineStr">
        <is>
          <t>Realizar referência cruzada das descobertas para criar visibilidade completa de ativos, correlacionando informações de múltiplas fontes.</t>
        </is>
      </c>
      <c r="E21" s="57" t="n"/>
      <c r="F21" s="57" t="n"/>
      <c r="G21" s="57" t="n"/>
      <c r="H21" s="109" t="n">
        <f>IF(AND(G21="Sim",LEN(TRIM(E21&amp;""))&gt;0,LEN(TRIM(F21&amp;""))&gt;0),C21,0)</f>
        <v>0</v>
      </c>
    </row>
    <row r="22" ht="100" customHeight="1" s="37">
      <c r="A22" s="55" t="inlineStr">
        <is>
          <t>RF-P-005</t>
        </is>
      </c>
      <c r="B22" s="55" t="n">
        <v>2</v>
      </c>
      <c r="C22" s="55" t="n">
        <v>2</v>
      </c>
      <c r="D22" s="55" t="inlineStr">
        <is>
          <t>Identificar oportunidades de ataque na superfície externa relacionada aos ativos descobertos ou formalmente autorizados pela INPACTA/CLIENTE, correlacionando domínios, subdomínios, endereços IP, portas, serviços e demais atributos técnicos disponíveis.</t>
        </is>
      </c>
      <c r="E22" s="57" t="n"/>
      <c r="F22" s="57" t="n"/>
      <c r="G22" s="57" t="n"/>
      <c r="H22" s="109" t="n">
        <f>IF(AND(G22="Sim",LEN(TRIM(E22&amp;""))&gt;0,LEN(TRIM(F22&amp;""))&gt;0),C22,0)</f>
        <v>0</v>
      </c>
    </row>
    <row r="23" ht="100" customHeight="1" s="37">
      <c r="A23" s="55" t="inlineStr">
        <is>
          <t>RF-P-005</t>
        </is>
      </c>
      <c r="B23" s="55" t="n">
        <v>3</v>
      </c>
      <c r="C23" s="55" t="n">
        <v>2</v>
      </c>
      <c r="D23" s="55" t="inlineStr">
        <is>
          <t>Realizar referência cruzada com dados de inteligência de ameaças no processo de descoberta, identificando tendências e fraquezas nos ativos mapeados.</t>
        </is>
      </c>
      <c r="E23" s="57" t="n"/>
      <c r="F23" s="57" t="n"/>
      <c r="G23" s="57" t="n"/>
      <c r="H23" s="109" t="n">
        <f>IF(AND(G23="Sim",LEN(TRIM(E23&amp;""))&gt;0,LEN(TRIM(F23&amp;""))&gt;0),C23,0)</f>
        <v>0</v>
      </c>
    </row>
    <row r="24" ht="100" customHeight="1" s="37">
      <c r="A24" s="55" t="inlineStr">
        <is>
          <t>RF-P-006</t>
        </is>
      </c>
      <c r="B24" s="55" t="n">
        <v>1</v>
      </c>
      <c r="C24" s="55" t="n">
        <v>2</v>
      </c>
      <c r="D24" s="55" t="inlineStr">
        <is>
          <t>Possuir metodologias abrangentes de validação para todos os diferentes tipos de vetores, cobrindo a diversidade de técnicas utilizadas por atores maliciosos.</t>
        </is>
      </c>
      <c r="E24" s="57" t="n"/>
      <c r="F24" s="57" t="n"/>
      <c r="G24" s="57" t="n"/>
      <c r="H24" s="109" t="n">
        <f>IF(AND(G24="Sim",LEN(TRIM(E24&amp;""))&gt;0,LEN(TRIM(F24&amp;""))&gt;0),C24,0)</f>
        <v>0</v>
      </c>
    </row>
    <row r="25" ht="100" customHeight="1" s="37">
      <c r="A25" s="55" t="inlineStr">
        <is>
          <t>RF-P-006</t>
        </is>
      </c>
      <c r="B25" s="55" t="n">
        <v>2</v>
      </c>
      <c r="C25" s="55" t="n">
        <v>2</v>
      </c>
      <c r="D25" s="55" t="inlineStr">
        <is>
          <t>Indicar automaticamente quando um vetor é remediado, mantendo registro histórico das correções realizadas e do seu impacto na superfície de ataque.</t>
        </is>
      </c>
      <c r="E25" s="57" t="n"/>
      <c r="F25" s="57" t="n"/>
      <c r="G25" s="57" t="n"/>
      <c r="H25" s="109" t="n">
        <f>IF(AND(G25="Sim",LEN(TRIM(E25&amp;""))&gt;0,LEN(TRIM(F25&amp;""))&gt;0),C25,0)</f>
        <v>0</v>
      </c>
    </row>
    <row r="26" ht="100" customHeight="1" s="37">
      <c r="A26" s="55" t="inlineStr">
        <is>
          <t>RF-P-006</t>
        </is>
      </c>
      <c r="B26" s="55" t="n">
        <v>3</v>
      </c>
      <c r="C26" s="55" t="n">
        <v>2</v>
      </c>
      <c r="D26" s="55" t="inlineStr">
        <is>
          <t>Executar continuamente nos ativos selecionados, monitorando o status das remediações e identificando regressões ou novas exposições.</t>
        </is>
      </c>
      <c r="E26" s="57" t="n"/>
      <c r="F26" s="57" t="n"/>
      <c r="G26" s="57" t="n"/>
      <c r="H26" s="109" t="n">
        <f>IF(AND(G26="Sim",LEN(TRIM(E26&amp;""))&gt;0,LEN(TRIM(F26&amp;""))&gt;0),C26,0)</f>
        <v>0</v>
      </c>
    </row>
    <row r="27" ht="100" customHeight="1" s="37">
      <c r="A27" s="55" t="inlineStr">
        <is>
          <t>RF-P-006</t>
        </is>
      </c>
      <c r="B27" s="55" t="n">
        <v>4</v>
      </c>
      <c r="C27" s="55" t="n">
        <v>2</v>
      </c>
      <c r="D27" s="55" t="inlineStr">
        <is>
          <t>Notificar os usuários quando um vetor for acessado ou explorado por um operador, garantindo rastreabilidade e controle das atividades de teste.</t>
        </is>
      </c>
      <c r="E27" s="57" t="n"/>
      <c r="F27" s="57" t="n"/>
      <c r="G27" s="57" t="n"/>
      <c r="H27" s="109" t="n">
        <f>IF(AND(G27="Sim",LEN(TRIM(E27&amp;""))&gt;0,LEN(TRIM(F27&amp;""))&gt;0),C27,0)</f>
        <v>0</v>
      </c>
    </row>
    <row r="28" ht="100" customHeight="1" s="37">
      <c r="A28" s="55" t="inlineStr">
        <is>
          <t>RF-P-006</t>
        </is>
      </c>
      <c r="B28" s="55" t="n">
        <v>5</v>
      </c>
      <c r="C28" s="55" t="n">
        <v>1</v>
      </c>
      <c r="D28" s="55" t="inlineStr">
        <is>
          <t>Permitir que os usuários registrem notas e observações nos vetores identificados, facilitando a comunicação e o acompanhamento colaborativo.</t>
        </is>
      </c>
      <c r="E28" s="57" t="n"/>
      <c r="F28" s="57" t="n"/>
      <c r="G28" s="57" t="n"/>
      <c r="H28" s="109" t="n">
        <f>IF(AND(G28="Sim",LEN(TRIM(E28&amp;""))&gt;0,LEN(TRIM(F28&amp;""))&gt;0),C28,0)</f>
        <v>0</v>
      </c>
    </row>
    <row r="29" ht="100" customHeight="1" s="37">
      <c r="A29" s="55" t="inlineStr">
        <is>
          <t>RF-P-007</t>
        </is>
      </c>
      <c r="B29" s="55" t="n">
        <v>1</v>
      </c>
      <c r="C29" s="55" t="n">
        <v>1</v>
      </c>
      <c r="D29" s="55" t="inlineStr">
        <is>
          <t>Permitir a exportação de relatórios em formatos amplamente utilizados, possibilitando o compartilhamento das descobertas com diferentes públicos.</t>
        </is>
      </c>
      <c r="E29" s="57" t="n"/>
      <c r="F29" s="57" t="n"/>
      <c r="G29" s="57" t="n"/>
      <c r="H29" s="109" t="n">
        <f>IF(AND(G29="Sim",LEN(TRIM(E29&amp;""))&gt;0,LEN(TRIM(F29&amp;""))&gt;0),C29,0)</f>
        <v>0</v>
      </c>
    </row>
    <row r="30" ht="100" customHeight="1" s="37">
      <c r="A30" s="55" t="inlineStr">
        <is>
          <t>RF-P-007</t>
        </is>
      </c>
      <c r="B30" s="55" t="n">
        <v>2</v>
      </c>
      <c r="C30" s="55" t="n">
        <v>2</v>
      </c>
      <c r="D30" s="55" t="inlineStr">
        <is>
          <t>Fornecer painel de visão geral com as descobertas de CTEM e BAS, apresentando dados consolidados e atualizados de forma contínua, com rastreabilidade da última atualização.</t>
        </is>
      </c>
      <c r="E30" s="57" t="n"/>
      <c r="F30" s="57" t="n"/>
      <c r="G30" s="57" t="n"/>
      <c r="H30" s="109" t="n">
        <f>IF(AND(G30="Sim",LEN(TRIM(E30&amp;""))&gt;0,LEN(TRIM(F30&amp;""))&gt;0),C30,0)</f>
        <v>0</v>
      </c>
    </row>
    <row r="31" ht="100" customHeight="1" s="37">
      <c r="A31" s="55" t="inlineStr">
        <is>
          <t>RF-P-007</t>
        </is>
      </c>
      <c r="B31" s="55" t="n">
        <v>3</v>
      </c>
      <c r="C31" s="55" t="n">
        <v>1</v>
      </c>
      <c r="D31" s="55" t="inlineStr">
        <is>
          <t>Permitir diferentes funções de usuário (Gestor e Membro), com controles de acesso adequados ao perfil de cada colaborador.</t>
        </is>
      </c>
      <c r="E31" s="57" t="n"/>
      <c r="F31" s="57" t="n"/>
      <c r="G31" s="57" t="n"/>
      <c r="H31" s="109" t="n">
        <f>IF(AND(G31="Sim",LEN(TRIM(E31&amp;""))&gt;0,LEN(TRIM(F31&amp;""))&gt;0),C31,0)</f>
        <v>0</v>
      </c>
    </row>
    <row r="32" ht="100" customHeight="1" s="37">
      <c r="A32" s="55" t="inlineStr">
        <is>
          <t>RF-P-007</t>
        </is>
      </c>
      <c r="B32" s="55" t="n">
        <v>4</v>
      </c>
      <c r="C32" s="55" t="n">
        <v>1</v>
      </c>
      <c r="D32" s="55" t="inlineStr">
        <is>
          <t>Permitir que os usuários dividam diferentes ativos entre diferentes equipes ou usuários, viabilizando a gestão segmentada da superfície de ataque.</t>
        </is>
      </c>
      <c r="E32" s="57" t="n"/>
      <c r="F32" s="57" t="n"/>
      <c r="G32" s="57" t="n"/>
      <c r="H32" s="109" t="n">
        <f>IF(AND(G32="Sim",LEN(TRIM(E32&amp;""))&gt;0,LEN(TRIM(F32&amp;""))&gt;0),C32,0)</f>
        <v>0</v>
      </c>
    </row>
    <row r="33" ht="100" customHeight="1" s="37">
      <c r="A33" s="55" t="inlineStr">
        <is>
          <t>RF-P-007</t>
        </is>
      </c>
      <c r="B33" s="55" t="n">
        <v>5</v>
      </c>
      <c r="C33" s="55" t="n">
        <v>1</v>
      </c>
      <c r="D33" s="55" t="inlineStr">
        <is>
          <t>Fornecer menu de configuração de usuário que permita personalizar níveis e cronogramas de varredura conforme as necessidades operacionais do InPACTA/Cliente.</t>
        </is>
      </c>
      <c r="E33" s="57" t="n"/>
      <c r="F33" s="57" t="n"/>
      <c r="G33" s="57" t="n"/>
      <c r="H33" s="109" t="n">
        <f>IF(AND(G33="Sim",LEN(TRIM(E33&amp;""))&gt;0,LEN(TRIM(F33&amp;""))&gt;0),C33,0)</f>
        <v>0</v>
      </c>
    </row>
    <row r="34" ht="100" customHeight="1" s="37">
      <c r="A34" s="55" t="inlineStr">
        <is>
          <t>RF-P-008</t>
        </is>
      </c>
      <c r="B34" s="55" t="n">
        <v>1</v>
      </c>
      <c r="C34" s="55" t="n">
        <v>2</v>
      </c>
      <c r="D34" s="55" t="inlineStr">
        <is>
          <t>Suportar abertura de chamados junto ao service desk, integrando os achados da plataforma aos fluxos de gestão de incidentes e vulnerabilidades já existentes.</t>
        </is>
      </c>
      <c r="E34" s="57" t="n"/>
      <c r="F34" s="57" t="n"/>
      <c r="G34" s="57" t="n"/>
      <c r="H34" s="109" t="n">
        <f>IF(AND(G34="Sim",LEN(TRIM(E34&amp;""))&gt;0,LEN(TRIM(F34&amp;""))&gt;0),C34,0)</f>
        <v>0</v>
      </c>
    </row>
    <row r="35" ht="100" customHeight="1" s="37">
      <c r="A35" s="55" t="inlineStr">
        <is>
          <t>RF-P-009</t>
        </is>
      </c>
      <c r="B35" s="55" t="n">
        <v>1</v>
      </c>
      <c r="C35" s="55" t="n">
        <v>2</v>
      </c>
      <c r="D35" s="55" t="inlineStr">
        <is>
          <t>Oferecer opção de implantação em ambiente cloud (nuvem pública ou privada) ou on-premise, conforme a política de infraestrutura do InPACTA/Cliente.</t>
        </is>
      </c>
      <c r="E35" s="57" t="n"/>
      <c r="F35" s="57" t="n"/>
      <c r="G35" s="57" t="n"/>
      <c r="H35" s="109" t="n">
        <f>IF(AND(G35="Sim",LEN(TRIM(E35&amp;""))&gt;0,LEN(TRIM(F35&amp;""))&gt;0),C35,0)</f>
        <v>0</v>
      </c>
    </row>
    <row r="36" ht="100" customHeight="1" s="37">
      <c r="A36" s="55" t="inlineStr">
        <is>
          <t>RF-P-009</t>
        </is>
      </c>
      <c r="B36" s="55" t="n">
        <v>2</v>
      </c>
      <c r="C36" s="55" t="n">
        <v>1</v>
      </c>
      <c r="D36" s="55" t="inlineStr">
        <is>
          <t>Assegurar que a opção on-premise não comprometa as capacidades funcionais da solução em relação à versão cloud.</t>
        </is>
      </c>
      <c r="E36" s="57" t="n"/>
      <c r="F36" s="57" t="n"/>
      <c r="G36" s="57" t="n"/>
      <c r="H36" s="109" t="n">
        <f>IF(AND(G36="Sim",LEN(TRIM(E36&amp;""))&gt;0,LEN(TRIM(F36&amp;""))&gt;0),C36,0)</f>
        <v>0</v>
      </c>
    </row>
    <row r="37" ht="100" customHeight="1" s="37">
      <c r="A37" s="55" t="inlineStr">
        <is>
          <t>RF-P-010</t>
        </is>
      </c>
      <c r="B37" s="55" t="n">
        <v>1</v>
      </c>
      <c r="C37" s="55" t="n">
        <v>2</v>
      </c>
      <c r="D37" s="55" t="inlineStr">
        <is>
          <t>Calcular Cyber Score prevendo a probabilidade de uma empresa da cadeia de fornecimento sofrer um incidente cibernético, com atualização contínua e histórico de evolução.</t>
        </is>
      </c>
      <c r="E37" s="57" t="n"/>
      <c r="F37" s="57" t="n"/>
      <c r="G37" s="57" t="n"/>
      <c r="H37" s="109" t="n">
        <f>IF(AND(G37="Sim",LEN(TRIM(E37&amp;""))&gt;0,LEN(TRIM(F37&amp;""))&gt;0),C37,0)</f>
        <v>0</v>
      </c>
    </row>
    <row r="38" ht="100" customHeight="1" s="37">
      <c r="A38" s="55" t="inlineStr">
        <is>
          <t>RF-P-010</t>
        </is>
      </c>
      <c r="B38" s="55" t="n">
        <v>2</v>
      </c>
      <c r="C38" s="55" t="n">
        <v>1</v>
      </c>
      <c r="D38" s="55" t="inlineStr">
        <is>
          <t>Gerar relatórios abrangentes com recomendações para remediação, em formatos executivo e técnico.</t>
        </is>
      </c>
      <c r="E38" s="57" t="n"/>
      <c r="F38" s="57" t="n"/>
      <c r="G38" s="57" t="n"/>
      <c r="H38" s="109" t="n">
        <f>IF(AND(G38="Sim",LEN(TRIM(E38&amp;""))&gt;0,LEN(TRIM(F38&amp;""))&gt;0),C38,0)</f>
        <v>0</v>
      </c>
    </row>
    <row r="39" ht="100" customHeight="1" s="37">
      <c r="A39" s="55" t="inlineStr">
        <is>
          <t>RF-P-010</t>
        </is>
      </c>
      <c r="B39" s="55" t="n">
        <v>3</v>
      </c>
      <c r="C39" s="55" t="n">
        <v>1</v>
      </c>
      <c r="D39" s="55" t="inlineStr">
        <is>
          <t>Disponibilizar processo de onboarding facilitado, permitindo rápido cadastro de fornecedores e início imediato da avaliação de riscos.</t>
        </is>
      </c>
      <c r="E39" s="57" t="n"/>
      <c r="F39" s="57" t="n"/>
      <c r="G39" s="57" t="n"/>
      <c r="H39" s="109" t="n">
        <f>IF(AND(G39="Sim",LEN(TRIM(E39&amp;""))&gt;0,LEN(TRIM(F39&amp;""))&gt;0),C39,0)</f>
        <v>0</v>
      </c>
    </row>
    <row r="40" ht="100" customHeight="1" s="37">
      <c r="A40" s="55" t="inlineStr">
        <is>
          <t>RF-P-011</t>
        </is>
      </c>
      <c r="B40" s="55" t="n">
        <v>1</v>
      </c>
      <c r="C40" s="55" t="n">
        <v>3</v>
      </c>
      <c r="D40" s="55" t="inlineStr">
        <is>
          <t>Fornecer capacidade de envio de questionários de segurança e conformidade para fornecedores, com gestão centralizada de respostas e acompanhamento de status.</t>
        </is>
      </c>
      <c r="E40" s="57" t="n"/>
      <c r="F40" s="57" t="n"/>
      <c r="G40" s="57" t="n"/>
      <c r="H40" s="109" t="n">
        <f>IF(AND(G40="Sim",LEN(TRIM(E40&amp;""))&gt;0,LEN(TRIM(F40&amp;""))&gt;0),C40,0)</f>
        <v>0</v>
      </c>
    </row>
    <row r="41" ht="100" customHeight="1" s="37">
      <c r="A41" s="55" t="inlineStr">
        <is>
          <t>RF-P-011</t>
        </is>
      </c>
      <c r="B41" s="55" t="n">
        <v>2</v>
      </c>
      <c r="C41" s="55" t="n">
        <v>1</v>
      </c>
      <c r="D41" s="55" t="inlineStr">
        <is>
          <t>Permitir configurar e aplicar referenciais regulatórios, normativos e setoriais, incluindo NIS2, DORA, HIPAA ou outros, somente quando compatíveis com o perfil e a atividade do terceiro avaliado.</t>
        </is>
      </c>
      <c r="E41" s="57" t="n"/>
      <c r="F41" s="57" t="n"/>
      <c r="G41" s="57" t="n"/>
      <c r="H41" s="109" t="n">
        <f>IF(AND(G41="Sim",LEN(TRIM(E41&amp;""))&gt;0,LEN(TRIM(F41&amp;""))&gt;0),C41,0)</f>
        <v>0</v>
      </c>
    </row>
    <row r="42" ht="100" customHeight="1" s="37">
      <c r="A42" s="55" t="inlineStr">
        <is>
          <t>RF-P-011</t>
        </is>
      </c>
      <c r="B42" s="55" t="n">
        <v>3</v>
      </c>
      <c r="C42" s="55" t="n">
        <v>2</v>
      </c>
      <c r="D42" s="55" t="inlineStr">
        <is>
          <t>Permitir personalização dos questionários conforme a criticidade e o perfil de risco de cada fornecedor ou categoria de serviço.</t>
        </is>
      </c>
      <c r="E42" s="57" t="n"/>
      <c r="F42" s="57" t="n"/>
      <c r="G42" s="57" t="n"/>
      <c r="H42" s="109" t="n">
        <f>IF(AND(G42="Sim",LEN(TRIM(E42&amp;""))&gt;0,LEN(TRIM(F42&amp;""))&gt;0),C42,0)</f>
        <v>0</v>
      </c>
    </row>
    <row r="43" ht="100" customHeight="1" s="37">
      <c r="A43" s="55" t="inlineStr">
        <is>
          <t>RF-P-011</t>
        </is>
      </c>
      <c r="B43" s="55" t="n">
        <v>4</v>
      </c>
      <c r="C43" s="55" t="n">
        <v>2</v>
      </c>
      <c r="D43" s="55" t="inlineStr">
        <is>
          <t>Consolidar as respostas dos questionários em painéis de conformidade, facilitando o acompanhamento do nível de aderência regulatória de cada terceiro.</t>
        </is>
      </c>
      <c r="E43" s="57" t="n"/>
      <c r="F43" s="57" t="n"/>
      <c r="G43" s="57" t="n"/>
      <c r="H43" s="109" t="n">
        <f>IF(AND(G43="Sim",LEN(TRIM(E43&amp;""))&gt;0,LEN(TRIM(F43&amp;""))&gt;0),C43,0)</f>
        <v>0</v>
      </c>
    </row>
    <row r="44" ht="100" customHeight="1" s="37">
      <c r="A44" s="55" t="inlineStr">
        <is>
          <t>RF-P-012</t>
        </is>
      </c>
      <c r="B44" s="55" t="n">
        <v>1</v>
      </c>
      <c r="C44" s="55" t="n">
        <v>3</v>
      </c>
      <c r="D44" s="55" t="inlineStr">
        <is>
          <t>Permitir priorização das ações de remediação com base na criticidade do fornecedor e na natureza dos dados expostos.</t>
        </is>
      </c>
      <c r="E44" s="57" t="n"/>
      <c r="F44" s="57" t="n"/>
      <c r="G44" s="57" t="n"/>
      <c r="H44" s="109" t="n">
        <f>IF(AND(G44="Sim",LEN(TRIM(E44&amp;""))&gt;0,LEN(TRIM(F44&amp;""))&gt;0),C44,0)</f>
        <v>0</v>
      </c>
    </row>
    <row r="45" ht="100" customHeight="1" s="37">
      <c r="A45" s="55" t="inlineStr">
        <is>
          <t>RF-P-013</t>
        </is>
      </c>
      <c r="B45" s="55" t="n">
        <v>1</v>
      </c>
      <c r="C45" s="55" t="n">
        <v>3</v>
      </c>
      <c r="D45" s="55" t="inlineStr">
        <is>
          <t>Fornecer visão topológica da superfície de ataque de cada fornecedor, do ponto de vista do adversário.</t>
        </is>
      </c>
      <c r="E45" s="57" t="n"/>
      <c r="F45" s="57" t="n"/>
      <c r="G45" s="57" t="n"/>
      <c r="H45" s="109" t="n">
        <f>IF(AND(G45="Sim",LEN(TRIM(E45&amp;""))&gt;0,LEN(TRIM(F45&amp;""))&gt;0),C45,0)</f>
        <v>0</v>
      </c>
    </row>
    <row r="46" ht="100" customHeight="1" s="37">
      <c r="A46" s="55" t="inlineStr">
        <is>
          <t>RF-P-013</t>
        </is>
      </c>
      <c r="B46" s="55" t="n">
        <v>2</v>
      </c>
      <c r="C46" s="55" t="n">
        <v>2</v>
      </c>
      <c r="D46" s="55" t="inlineStr">
        <is>
          <t>Emitir alertas proativos sobre novas exposições identificadas, com recomendações de remediação e prazo sugerido.</t>
        </is>
      </c>
      <c r="E46" s="57" t="n"/>
      <c r="F46" s="57" t="n"/>
      <c r="G46" s="57" t="n"/>
      <c r="H46" s="109" t="n">
        <f>IF(AND(G46="Sim",LEN(TRIM(E46&amp;""))&gt;0,LEN(TRIM(F46&amp;""))&gt;0),C46,0)</f>
        <v>0</v>
      </c>
    </row>
    <row r="47" ht="100" customHeight="1" s="37">
      <c r="A47" s="55" t="inlineStr">
        <is>
          <t>RF-P-014</t>
        </is>
      </c>
      <c r="B47" s="55" t="n">
        <v>1</v>
      </c>
      <c r="C47" s="55" t="n">
        <v>1</v>
      </c>
      <c r="D47" s="55" t="inlineStr">
        <is>
          <t>Fornecer contexto sobre o grupo responsável pelo ataque, dados potencialmente expostos e impacto estimado para a cadeia de fornecimento.</t>
        </is>
      </c>
      <c r="E47" s="57" t="n"/>
      <c r="F47" s="57" t="n"/>
      <c r="G47" s="57" t="n"/>
      <c r="H47" s="109" t="n">
        <f>IF(AND(G47="Sim",LEN(TRIM(E47&amp;""))&gt;0,LEN(TRIM(F47&amp;""))&gt;0),C47,0)</f>
        <v>0</v>
      </c>
    </row>
    <row r="48" ht="100" customHeight="1" s="37">
      <c r="A48" s="55" t="inlineStr">
        <is>
          <t>RF-P-014</t>
        </is>
      </c>
      <c r="B48" s="55" t="n">
        <v>2</v>
      </c>
      <c r="C48" s="55" t="n">
        <v>2</v>
      </c>
      <c r="D48" s="55" t="inlineStr">
        <is>
          <t>Permitir avaliação rápida do risco de contaminação e interrupção dos serviços prestados pelo fornecedor afetado.</t>
        </is>
      </c>
      <c r="E48" s="57" t="n"/>
      <c r="F48" s="57" t="n"/>
      <c r="G48" s="57" t="n"/>
      <c r="H48" s="109" t="n">
        <f>IF(AND(G48="Sim",LEN(TRIM(E48&amp;""))&gt;0,LEN(TRIM(F48&amp;""))&gt;0),C48,0)</f>
        <v>0</v>
      </c>
    </row>
    <row r="49" ht="100" customHeight="1" s="37">
      <c r="A49" s="55" t="inlineStr">
        <is>
          <t>RF-P-015</t>
        </is>
      </c>
      <c r="B49" s="55" t="n">
        <v>1</v>
      </c>
      <c r="C49" s="55" t="n">
        <v>1</v>
      </c>
      <c r="D49" s="55" t="inlineStr">
        <is>
          <t>Suportar filtragem fácil dos resultados por propriedades específicas.</t>
        </is>
      </c>
      <c r="E49" s="57" t="n"/>
      <c r="F49" s="57" t="n"/>
      <c r="G49" s="57" t="n"/>
      <c r="H49" s="109" t="n">
        <f>IF(AND(G49="Sim",LEN(TRIM(E49&amp;""))&gt;0,LEN(TRIM(F49&amp;""))&gt;0),C49,0)</f>
        <v>0</v>
      </c>
    </row>
    <row r="50" ht="100" customHeight="1" s="37">
      <c r="A50" s="55" t="inlineStr">
        <is>
          <t>RF-P-015</t>
        </is>
      </c>
      <c r="B50" s="55" t="n">
        <v>2</v>
      </c>
      <c r="C50" s="55" t="n">
        <v>1</v>
      </c>
      <c r="D50" s="55" t="inlineStr">
        <is>
          <t>Disponibilizar recurso de consultas salvas com alertas por e-mail para atualizações sobre novas descobertas.</t>
        </is>
      </c>
      <c r="E50" s="57" t="n"/>
      <c r="F50" s="57" t="n"/>
      <c r="G50" s="57" t="n"/>
      <c r="H50" s="109" t="n">
        <f>IF(AND(G50="Sim",LEN(TRIM(E50&amp;""))&gt;0,LEN(TRIM(F50&amp;""))&gt;0),C50,0)</f>
        <v>0</v>
      </c>
    </row>
    <row r="51" ht="100" customHeight="1" s="37">
      <c r="A51" s="55" t="inlineStr">
        <is>
          <t>RF-P-015</t>
        </is>
      </c>
      <c r="B51" s="55" t="n">
        <v>3</v>
      </c>
      <c r="C51" s="55" t="n">
        <v>1</v>
      </c>
      <c r="D51" s="55" t="inlineStr">
        <is>
          <t>Permitir download de bancos de dados e arquivos diretamente da plataforma.</t>
        </is>
      </c>
      <c r="E51" s="57" t="n"/>
      <c r="F51" s="57" t="n"/>
      <c r="G51" s="57" t="n"/>
      <c r="H51" s="109" t="n">
        <f>IF(AND(G51="Sim",LEN(TRIM(E51&amp;""))&gt;0,LEN(TRIM(F51&amp;""))&gt;0),C51,0)</f>
        <v>0</v>
      </c>
    </row>
    <row r="52" ht="100" customHeight="1" s="37">
      <c r="A52" s="55" t="inlineStr">
        <is>
          <t>RF-P-015</t>
        </is>
      </c>
      <c r="B52" s="55" t="n">
        <v>4</v>
      </c>
      <c r="C52" s="55" t="n">
        <v>1</v>
      </c>
      <c r="D52" s="55" t="inlineStr">
        <is>
          <t>Fornecer acesso a base de conhecimento do Centro de Inteligência Cibernética com relatórios completos.</t>
        </is>
      </c>
      <c r="E52" s="57" t="n"/>
      <c r="F52" s="57" t="n"/>
      <c r="G52" s="57" t="n"/>
      <c r="H52" s="109" t="n">
        <f>IF(AND(G52="Sim",LEN(TRIM(E52&amp;""))&gt;0,LEN(TRIM(F52&amp;""))&gt;0),C52,0)</f>
        <v>0</v>
      </c>
    </row>
    <row r="53" ht="100" customHeight="1" s="37">
      <c r="A53" s="55" t="inlineStr">
        <is>
          <t>RF-P-016</t>
        </is>
      </c>
      <c r="B53" s="55" t="n">
        <v>1</v>
      </c>
      <c r="C53" s="55" t="n">
        <v>2</v>
      </c>
      <c r="D53" s="55" t="inlineStr">
        <is>
          <t>Enriquecer dados com inteligência de fontes de cibercrime, criando eventos a partir de incidentes curados para defesa proativa.</t>
        </is>
      </c>
      <c r="E53" s="57" t="n"/>
      <c r="F53" s="57" t="n"/>
      <c r="G53" s="57" t="n"/>
      <c r="H53" s="109" t="n">
        <f>IF(AND(G53="Sim",LEN(TRIM(E53&amp;""))&gt;0,LEN(TRIM(F53&amp;""))&gt;0),C53,0)</f>
        <v>0</v>
      </c>
    </row>
    <row r="54" ht="100" customHeight="1" s="37">
      <c r="A54" s="55" t="inlineStr">
        <is>
          <t>RF-P-016</t>
        </is>
      </c>
      <c r="B54" s="55" t="n">
        <v>2</v>
      </c>
      <c r="C54" s="55" t="n">
        <v>3</v>
      </c>
      <c r="D54" s="55" t="inlineStr">
        <is>
          <t>Disponibilizar lista curada de atividades em tendência do underground (ransomware, APTs) com estatísticas.</t>
        </is>
      </c>
      <c r="E54" s="57" t="n"/>
      <c r="F54" s="57" t="n"/>
      <c r="G54" s="57" t="n"/>
      <c r="H54" s="109" t="n">
        <f>IF(AND(G54="Sim",LEN(TRIM(E54&amp;""))&gt;0,LEN(TRIM(F54&amp;""))&gt;0),C54,0)</f>
        <v>0</v>
      </c>
    </row>
    <row r="55" ht="100" customHeight="1" s="37">
      <c r="A55" s="55" t="inlineStr">
        <is>
          <t>RF-P-017</t>
        </is>
      </c>
      <c r="B55" s="55" t="n">
        <v>1</v>
      </c>
      <c r="C55" s="55" t="n">
        <v>2</v>
      </c>
      <c r="D55" s="55" t="inlineStr">
        <is>
          <t>Analisar padrões por setor e região para revelar preferências de alvo e estratégias.</t>
        </is>
      </c>
      <c r="E55" s="57" t="n"/>
      <c r="F55" s="57" t="n"/>
      <c r="G55" s="57" t="n"/>
      <c r="H55" s="109" t="n">
        <f>IF(AND(G55="Sim",LEN(TRIM(E55&amp;""))&gt;0,LEN(TRIM(F55&amp;""))&gt;0),C55,0)</f>
        <v>0</v>
      </c>
    </row>
    <row r="56" ht="100" customHeight="1" s="37">
      <c r="A56" s="55" t="inlineStr">
        <is>
          <t>RF-P-017</t>
        </is>
      </c>
      <c r="B56" s="55" t="n">
        <v>2</v>
      </c>
      <c r="C56" s="55" t="n">
        <v>2</v>
      </c>
      <c r="D56" s="55" t="inlineStr">
        <is>
          <t>Criar automaticamente perfis detalhados de grupos de ataque com táticas, técnicas, afiliações e histórico de atividades.</t>
        </is>
      </c>
      <c r="E56" s="57" t="n"/>
      <c r="F56" s="57" t="n"/>
      <c r="G56" s="57" t="n"/>
      <c r="H56" s="109" t="n">
        <f>IF(AND(G56="Sim",LEN(TRIM(E56&amp;""))&gt;0,LEN(TRIM(F56&amp;""))&gt;0),C56,0)</f>
        <v>0</v>
      </c>
    </row>
    <row r="57" ht="100" customHeight="1" s="37">
      <c r="A57" s="55" t="inlineStr">
        <is>
          <t>RF-P-017</t>
        </is>
      </c>
      <c r="B57" s="55" t="n">
        <v>3</v>
      </c>
      <c r="C57" s="55" t="n">
        <v>1</v>
      </c>
      <c r="D57" s="55" t="inlineStr">
        <is>
          <t>Fornecer inteligência sobre aliases utilizados por grupos APT para rastreamento de atividades.</t>
        </is>
      </c>
      <c r="E57" s="57" t="n"/>
      <c r="F57" s="57" t="n"/>
      <c r="G57" s="57" t="n"/>
      <c r="H57" s="109" t="n">
        <f>IF(AND(G57="Sim",LEN(TRIM(E57&amp;""))&gt;0,LEN(TRIM(F57&amp;""))&gt;0),C57,0)</f>
        <v>0</v>
      </c>
    </row>
    <row r="58" ht="100" customHeight="1" s="37">
      <c r="A58" s="55" t="inlineStr">
        <is>
          <t>RF-P-018</t>
        </is>
      </c>
      <c r="B58" s="55" t="n">
        <v>1</v>
      </c>
      <c r="C58" s="55" t="n">
        <v>1</v>
      </c>
      <c r="D58" s="55" t="inlineStr">
        <is>
          <t>Permitir marcar resultados como resolvidos para gestão do ciclo de vida dos incidentes.</t>
        </is>
      </c>
      <c r="E58" s="57" t="n"/>
      <c r="F58" s="57" t="n"/>
      <c r="G58" s="57" t="n"/>
      <c r="H58" s="109" t="n">
        <f>IF(AND(G58="Sim",LEN(TRIM(E58&amp;""))&gt;0,LEN(TRIM(F58&amp;""))&gt;0),C58,0)</f>
        <v>0</v>
      </c>
    </row>
    <row r="59" ht="100" customHeight="1" s="37">
      <c r="A59" s="55" t="inlineStr">
        <is>
          <t>RF-P-018</t>
        </is>
      </c>
      <c r="B59" s="55" t="n">
        <v>2</v>
      </c>
      <c r="C59" s="55" t="n">
        <v>1</v>
      </c>
      <c r="D59" s="55" t="inlineStr">
        <is>
          <t>Filtrar incidentes por data de infecção ou data de criação, categoria, FQDN, criticidade e status de resolução.</t>
        </is>
      </c>
      <c r="E59" s="57" t="n"/>
      <c r="F59" s="57" t="n"/>
      <c r="G59" s="57" t="n"/>
      <c r="H59" s="109" t="n">
        <f>IF(AND(G59="Sim",LEN(TRIM(E59&amp;""))&gt;0,LEN(TRIM(F59&amp;""))&gt;0),C59,0)</f>
        <v>0</v>
      </c>
    </row>
    <row r="60" ht="100" customHeight="1" s="37">
      <c r="A60" s="55" t="inlineStr">
        <is>
          <t>RF-P-018</t>
        </is>
      </c>
      <c r="B60" s="55" t="n">
        <v>3</v>
      </c>
      <c r="C60" s="55" t="n">
        <v>1</v>
      </c>
      <c r="D60" s="55" t="inlineStr">
        <is>
          <t>Permitir importar arquivos CSV com ativos digitais relevantes.</t>
        </is>
      </c>
      <c r="E60" s="57" t="n"/>
      <c r="F60" s="57" t="n"/>
      <c r="G60" s="57" t="n"/>
      <c r="H60" s="109" t="n">
        <f>IF(AND(G60="Sim",LEN(TRIM(E60&amp;""))&gt;0,LEN(TRIM(F60&amp;""))&gt;0),C60,0)</f>
        <v>0</v>
      </c>
    </row>
    <row r="61" ht="100" customHeight="1" s="37">
      <c r="A61" s="55" t="inlineStr">
        <is>
          <t>RF-P-019</t>
        </is>
      </c>
      <c r="B61" s="55" t="n">
        <v>1</v>
      </c>
      <c r="C61" s="55" t="n">
        <v>2</v>
      </c>
      <c r="D61" s="55" t="inlineStr">
        <is>
          <t>Disponibilizar dashboard de IoCs com lista direcionada originada de campanhas maliciosas.</t>
        </is>
      </c>
      <c r="E61" s="57" t="n"/>
      <c r="F61" s="57" t="n"/>
      <c r="G61" s="57" t="n"/>
      <c r="H61" s="109" t="n">
        <f>IF(AND(G61="Sim",LEN(TRIM(E61&amp;""))&gt;0,LEN(TRIM(F61&amp;""))&gt;0),C61,0)</f>
        <v>0</v>
      </c>
    </row>
    <row r="62" ht="100" customHeight="1" s="37">
      <c r="A62" s="55" t="inlineStr">
        <is>
          <t>RF-P-019</t>
        </is>
      </c>
      <c r="B62" s="55" t="n">
        <v>2</v>
      </c>
      <c r="C62" s="55" t="n">
        <v>2</v>
      </c>
      <c r="D62" s="55" t="inlineStr">
        <is>
          <t>Permitir que o InPACTA/Cliente envie seus próprios IoCs para correlação, alertas e enriquecimento.</t>
        </is>
      </c>
      <c r="E62" s="57" t="n"/>
      <c r="F62" s="57" t="n"/>
      <c r="G62" s="57" t="n"/>
      <c r="H62" s="109" t="n">
        <f>IF(AND(G62="Sim",LEN(TRIM(E62&amp;""))&gt;0,LEN(TRIM(F62&amp;""))&gt;0),C62,0)</f>
        <v>0</v>
      </c>
    </row>
    <row r="63" ht="100" customHeight="1" s="37">
      <c r="A63" s="55" t="inlineStr">
        <is>
          <t>RF-P-019</t>
        </is>
      </c>
      <c r="B63" s="55" t="n">
        <v>3</v>
      </c>
      <c r="C63" s="55" t="n">
        <v>1</v>
      </c>
      <c r="D63" s="55" t="inlineStr">
        <is>
          <t>Enriquecer cada IOC com contexto: campanhas associadas, fonte, timestamps e discussões underground.</t>
        </is>
      </c>
      <c r="E63" s="57" t="n"/>
      <c r="F63" s="57" t="n"/>
      <c r="G63" s="57" t="n"/>
      <c r="H63" s="109" t="n">
        <f>IF(AND(G63="Sim",LEN(TRIM(E63&amp;""))&gt;0,LEN(TRIM(F63&amp;""))&gt;0),C63,0)</f>
        <v>0</v>
      </c>
    </row>
    <row r="64" ht="100" customHeight="1" s="37">
      <c r="A64" s="55" t="inlineStr">
        <is>
          <t>RF-P-020</t>
        </is>
      </c>
      <c r="B64" s="55" t="n">
        <v>1</v>
      </c>
      <c r="C64" s="55" t="n">
        <v>3</v>
      </c>
      <c r="D64" s="55" t="inlineStr">
        <is>
          <t>Geração de briefings diários de inteligência de ameaças.</t>
        </is>
      </c>
      <c r="E64" s="57" t="n"/>
      <c r="F64" s="57" t="n"/>
      <c r="G64" s="57" t="n"/>
      <c r="H64" s="109" t="n">
        <f>IF(AND(G64="Sim",LEN(TRIM(E64&amp;""))&gt;0,LEN(TRIM(F64&amp;""))&gt;0),C64,0)</f>
        <v>0</v>
      </c>
    </row>
    <row r="65" ht="100" customHeight="1" s="37">
      <c r="A65" s="55" t="inlineStr">
        <is>
          <t>RF-P-021</t>
        </is>
      </c>
      <c r="B65" s="55" t="n">
        <v>1</v>
      </c>
      <c r="C65" s="55" t="n">
        <v>3</v>
      </c>
      <c r="D65" s="55" t="inlineStr">
        <is>
          <t>Capacidade de verificação e escalonamento de incidentes diretamente nas plataformas de colaboração.</t>
        </is>
      </c>
      <c r="E65" s="57" t="n"/>
      <c r="F65" s="57" t="n"/>
      <c r="G65" s="57" t="n"/>
      <c r="H65" s="109" t="n">
        <f>IF(AND(G65="Sim",LEN(TRIM(E65&amp;""))&gt;0,LEN(TRIM(F65&amp;""))&gt;0),C65,0)</f>
        <v>0</v>
      </c>
    </row>
    <row r="66" ht="100" customHeight="1" s="37">
      <c r="A66" s="55" t="inlineStr">
        <is>
          <t>RF-P-022</t>
        </is>
      </c>
      <c r="B66" s="55" t="n">
        <v>1</v>
      </c>
      <c r="C66" s="55" t="n">
        <v>2</v>
      </c>
      <c r="D66" s="55" t="inlineStr">
        <is>
          <t>Fluxos de trabalho de validação de incidentes, agilizando a triagem e a confirmação de ameaças.</t>
        </is>
      </c>
      <c r="E66" s="57" t="n"/>
      <c r="F66" s="57" t="n"/>
      <c r="G66" s="57" t="n"/>
      <c r="H66" s="109" t="n">
        <f>IF(AND(G66="Sim",LEN(TRIM(E66&amp;""))&gt;0,LEN(TRIM(F66&amp;""))&gt;0),C66,0)</f>
        <v>0</v>
      </c>
    </row>
    <row r="67" ht="100" customHeight="1" s="37">
      <c r="A67" s="55" t="inlineStr">
        <is>
          <t>RF-P-023</t>
        </is>
      </c>
      <c r="B67" s="55" t="n">
        <v>1</v>
      </c>
      <c r="C67" s="55" t="n">
        <v>3</v>
      </c>
      <c r="D67" s="55" t="inlineStr">
        <is>
          <t>Permitir consultas, análises, investigações e apresentação de resultados em múltiplos idiomas, com tradução e interpretação contextual que preservem, tanto quanto tecnicamente possível, o significado técnico das informações processadas.</t>
        </is>
      </c>
      <c r="E67" s="57" t="n"/>
      <c r="F67" s="57" t="n"/>
      <c r="G67" s="57" t="n"/>
      <c r="H67" s="109" t="n">
        <f>IF(AND(G67="Sim",LEN(TRIM(E67&amp;""))&gt;0,LEN(TRIM(F67&amp;""))&gt;0),C67,0)</f>
        <v>0</v>
      </c>
    </row>
  </sheetData>
  <sheetProtection selectLockedCells="0" selectUnlockedCells="0" sheet="1" objects="0" insertRows="1" insertHyperlinks="1" autoFilter="0" scenarios="0" formatColumns="1" deleteColumns="1" insertColumns="1" pivotTables="1" deleteRows="1" formatCells="1" formatRows="1" sort="0"/>
  <autoFilter ref="A5:H67"/>
  <mergeCells count="2">
    <mergeCell ref="A2:H3"/>
    <mergeCell ref="A1:H1"/>
  </mergeCells>
  <dataValidations count="1">
    <dataValidation sqref="G6:G67" showDropDown="0" showInputMessage="0" showErrorMessage="1" allowBlank="1" type="list" errorStyle="stop">
      <formula1>"Sim,Não"</formula1>
    </dataValidation>
  </dataValidations>
  <printOptions horizontalCentered="1"/>
  <pageMargins left="0.75" right="0.75" top="1" bottom="1" header="0.5" footer="0.5"/>
  <pageSetup orientation="landscape" paperSize="8" fitToHeight="0" fitToWidth="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4926D16D4A96643B55D471A803BA027" ma:contentTypeVersion="11" ma:contentTypeDescription="Crie um novo documento." ma:contentTypeScope="" ma:versionID="683fd23006f00b69297274f6594ec1da">
  <xsd:schema xmlns:xsd="http://www.w3.org/2001/XMLSchema" xmlns:xs="http://www.w3.org/2001/XMLSchema" xmlns:p="http://schemas.microsoft.com/office/2006/metadata/properties" xmlns:ns2="4a9ead18-b925-4a93-b8b7-4fa0d3c1306f" xmlns:ns3="55a8cd96-8d44-409e-911e-182d4de552f7" targetNamespace="http://schemas.microsoft.com/office/2006/metadata/properties" ma:root="true" ma:fieldsID="0bef1f61896fa897b0e30db2f9e1222b" ns2:_="" ns3:_="">
    <xsd:import namespace="4a9ead18-b925-4a93-b8b7-4fa0d3c1306f"/>
    <xsd:import namespace="55a8cd96-8d44-409e-911e-182d4de552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9ead18-b925-4a93-b8b7-4fa0d3c130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1f778ba3-ca27-478d-808d-111ba3323f9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a8cd96-8d44-409e-911e-182d4de552f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41ba242-4e67-434f-a21b-52476d03e504}" ma:internalName="TaxCatchAll" ma:showField="CatchAllData" ma:web="55a8cd96-8d44-409e-911e-182d4de552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5a8cd96-8d44-409e-911e-182d4de552f7" xsi:nil="true"/>
    <lcf76f155ced4ddcb4097134ff3c332f xmlns="4a9ead18-b925-4a93-b8b7-4fa0d3c1306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4552AEB-8FB1-4F27-95F4-ABE634C10D7A}"/>
</file>

<file path=customXml/itemProps2.xml><?xml version="1.0" encoding="utf-8"?>
<ds:datastoreItem xmlns:ds="http://schemas.openxmlformats.org/officeDocument/2006/customXml" ds:itemID="{90169559-AEF3-45F7-8A67-26A7611E07E5}"/>
</file>

<file path=customXml/itemProps3.xml><?xml version="1.0" encoding="utf-8"?>
<ds:datastoreItem xmlns:ds="http://schemas.openxmlformats.org/officeDocument/2006/customXml" ds:itemID="{EC71B718-0F08-458F-873D-E1D4746FB8F8}"/>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 III - Requisitos Funcionais e PoC</dc:title>
  <dc:subject>Processo Administrativo 006/2026</dc:subject>
  <dc:creator>openpyxl</dc:creator>
  <dc:description/>
  <cp:lastModifiedBy>Márcio Luis Catelan</cp:lastModifiedBy>
  <dcterms:created xsi:type="dcterms:W3CDTF">2026-09-28T21:25:10Z</dcterms:created>
  <dcterms:modified xsi:type="dcterms:W3CDTF">2026-10-06T18:40:14Z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0x01010054926D16D4A96643B55D471A803BA027</vt:lpwstr>
  </property>
  <property fmtid="{D5CDD505-2E9C-101B-9397-08002B2CF9AE}" pid="3" name="MediaServiceImageTags">
    <vt:lpwstr/>
  </property>
</Properties>
</file>