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pactatech.sharepoint.com/sites/INPACTA/Tecnologia e Inovao/PROCESSO - PROJETOS DE ENGENHARIA/"/>
    </mc:Choice>
  </mc:AlternateContent>
  <xr:revisionPtr revIDLastSave="0" documentId="8_{949BA9E8-E54D-4DAA-9F42-C28EB7AB6057}" xr6:coauthVersionLast="47" xr6:coauthVersionMax="47" xr10:uidLastSave="{00000000-0000-0000-0000-000000000000}"/>
  <bookViews>
    <workbookView xWindow="-38510" yWindow="-6210" windowWidth="38620" windowHeight="21220" tabRatio="500" xr2:uid="{00000000-000D-0000-FFFF-FFFF00000000}"/>
  </bookViews>
  <sheets>
    <sheet name="CEHOP_2025" sheetId="1" r:id="rId1"/>
    <sheet name="SECID PR_2024" sheetId="2" state="hidden" r:id="rId2"/>
    <sheet name="RESUMO - SECID" sheetId="3" state="hidden" r:id="rId3"/>
    <sheet name="RESUMO - ORSE" sheetId="4" state="hidden" r:id="rId4"/>
  </sheets>
  <externalReferences>
    <externalReference r:id="rId5"/>
    <externalReference r:id="rId6"/>
  </externalReferences>
  <definedNames>
    <definedName name="____xlnm.Print_Area_2">#REF!</definedName>
    <definedName name="____xlnm.Print_Area_3">#REF!</definedName>
    <definedName name="____xlnm.Print_Area_3_1">#REF!</definedName>
    <definedName name="____xlnm.Print_Titles_2">#REF!</definedName>
    <definedName name="____xlnm.Print_Titles_3">#REF!</definedName>
    <definedName name="___xlnm.Print_Area_2">#REF!</definedName>
    <definedName name="___xlnm.Print_Area_3">#REF!</definedName>
    <definedName name="___xlnm.Print_Area_3_1">#REF!</definedName>
    <definedName name="___xlnm.Print_Titles_2">#REF!</definedName>
    <definedName name="___xlnm.Print_Titles_3">#REF!</definedName>
    <definedName name="__Anonymous_Sheet_DB__0">'SECID PR_2024'!$B$9:$G$170</definedName>
    <definedName name="__xlnm.Print_Area_2">#REF!</definedName>
    <definedName name="__xlnm.Print_Area_3">#REF!</definedName>
    <definedName name="__xlnm.Print_Area_3_1">#REF!</definedName>
    <definedName name="__xlnm.Print_Titles_2">#REF!</definedName>
    <definedName name="__xlnm.Print_Titles_3">#REF!</definedName>
    <definedName name="_xlnm._FilterDatabase" localSheetId="0" hidden="1">CEHOP_2025!$A$5:$I$276</definedName>
    <definedName name="_R10P">#REF!</definedName>
    <definedName name="_R10R">#REF!</definedName>
    <definedName name="_R11P">#REF!</definedName>
    <definedName name="_R11R">#REF!</definedName>
    <definedName name="_R12P">#REF!</definedName>
    <definedName name="_R12R">#REF!</definedName>
    <definedName name="_R13P">#REF!</definedName>
    <definedName name="_R13R">#REF!</definedName>
    <definedName name="_R14P">#REF!</definedName>
    <definedName name="_R14R">#REF!</definedName>
    <definedName name="_R15P">#REF!</definedName>
    <definedName name="_R15R">#REF!</definedName>
    <definedName name="_R16P">#REF!</definedName>
    <definedName name="_R16R">#REF!</definedName>
    <definedName name="_R17P">#REF!</definedName>
    <definedName name="_R17R">#REF!</definedName>
    <definedName name="_R18P">#REF!</definedName>
    <definedName name="_R18R">#REF!</definedName>
    <definedName name="_R19P">#REF!</definedName>
    <definedName name="_R19R">#REF!</definedName>
    <definedName name="_R1P">#REF!</definedName>
    <definedName name="_R1R">#REF!</definedName>
    <definedName name="_R20P">#REF!</definedName>
    <definedName name="_R20R">#REF!</definedName>
    <definedName name="_R21P">#REF!</definedName>
    <definedName name="_R21R">#REF!</definedName>
    <definedName name="_R22P">#REF!</definedName>
    <definedName name="_R22R">#REF!</definedName>
    <definedName name="_R23P">#REF!</definedName>
    <definedName name="_R23R">#REF!</definedName>
    <definedName name="_R24P">#REF!</definedName>
    <definedName name="_R24R">#REF!</definedName>
    <definedName name="_R2P">#REF!</definedName>
    <definedName name="_R2R">#REF!</definedName>
    <definedName name="_R3P">#REF!</definedName>
    <definedName name="_R3R">#REF!</definedName>
    <definedName name="_R4P">#REF!</definedName>
    <definedName name="_R4R">#REF!</definedName>
    <definedName name="_R5P">#REF!</definedName>
    <definedName name="_R5R">#REF!</definedName>
    <definedName name="_R6P">#REF!</definedName>
    <definedName name="_R6R">#REF!</definedName>
    <definedName name="_R7P">#REF!</definedName>
    <definedName name="_R7R">#REF!</definedName>
    <definedName name="_R8P">#REF!</definedName>
    <definedName name="_R8R">#REF!</definedName>
    <definedName name="_R9P">#REF!</definedName>
    <definedName name="_R9R">#REF!</definedName>
    <definedName name="_RP1">#REF!</definedName>
    <definedName name="_RP10">#REF!</definedName>
    <definedName name="_RP11">#REF!</definedName>
    <definedName name="_RP12">#REF!</definedName>
    <definedName name="_RP13">#REF!</definedName>
    <definedName name="_RP14">#REF!</definedName>
    <definedName name="_RP15">#REF!</definedName>
    <definedName name="_RP16">#REF!</definedName>
    <definedName name="_RP17">#REF!</definedName>
    <definedName name="_RP18">#REF!</definedName>
    <definedName name="_RP19">#REF!</definedName>
    <definedName name="_RP2">#REF!</definedName>
    <definedName name="_RP20">#REF!</definedName>
    <definedName name="_RP21">#REF!</definedName>
    <definedName name="_RP22">#REF!</definedName>
    <definedName name="_RP23">#REF!</definedName>
    <definedName name="_RP24">#REF!</definedName>
    <definedName name="_RP3">#REF!</definedName>
    <definedName name="_RP4">#REF!</definedName>
    <definedName name="_RP5">#REF!</definedName>
    <definedName name="_RP6">#REF!</definedName>
    <definedName name="_RP7">#REF!</definedName>
    <definedName name="_RP8">#REF!</definedName>
    <definedName name="_RP9">#REF!</definedName>
    <definedName name="_RR1">#REF!</definedName>
    <definedName name="_RR10">#REF!</definedName>
    <definedName name="_RR12">#REF!</definedName>
    <definedName name="_RR13">#REF!</definedName>
    <definedName name="_RR14">#REF!</definedName>
    <definedName name="_RR15">#REF!</definedName>
    <definedName name="_RR16">#REF!</definedName>
    <definedName name="_RR17">#REF!</definedName>
    <definedName name="_RR18">#REF!</definedName>
    <definedName name="_RR19">#REF!</definedName>
    <definedName name="_RR2">#REF!</definedName>
    <definedName name="_RR20">#REF!</definedName>
    <definedName name="_RR21">#REF!</definedName>
    <definedName name="_RR22">#REF!</definedName>
    <definedName name="_RR23">#REF!</definedName>
    <definedName name="_RR24">#REF!</definedName>
    <definedName name="_RR3">#REF!</definedName>
    <definedName name="_RR4">#REF!</definedName>
    <definedName name="_RR5">#REF!</definedName>
    <definedName name="_RR6">#REF!</definedName>
    <definedName name="_RR7">#REF!</definedName>
    <definedName name="_RR8">#REF!</definedName>
    <definedName name="_RR9">#REF!</definedName>
    <definedName name="_tt1">"$#REF!.$A$1:$B$3278"</definedName>
    <definedName name="A1P1">#REF!</definedName>
    <definedName name="A1P10">#REF!</definedName>
    <definedName name="A1P11">#REF!</definedName>
    <definedName name="A1P12">#REF!</definedName>
    <definedName name="A1P13">#REF!</definedName>
    <definedName name="A1P14">#REF!</definedName>
    <definedName name="A1P15">#REF!</definedName>
    <definedName name="A1P16">#REF!</definedName>
    <definedName name="A1P17">#REF!</definedName>
    <definedName name="A1P18">#REF!</definedName>
    <definedName name="A1P19">#REF!</definedName>
    <definedName name="A1P2">#REF!</definedName>
    <definedName name="A1P20">#REF!</definedName>
    <definedName name="A1P21">#REF!</definedName>
    <definedName name="A1P22">#REF!</definedName>
    <definedName name="A1P23">#REF!</definedName>
    <definedName name="A1P24">#REF!</definedName>
    <definedName name="A1P3">#REF!</definedName>
    <definedName name="A1P4">#REF!</definedName>
    <definedName name="A1P5">#REF!</definedName>
    <definedName name="A1P6">#REF!</definedName>
    <definedName name="A1P7">#REF!</definedName>
    <definedName name="A1P8">#REF!</definedName>
    <definedName name="A1P9">#REF!</definedName>
    <definedName name="A1R1">#REF!</definedName>
    <definedName name="A1R10">#REF!</definedName>
    <definedName name="A1R11">#REF!</definedName>
    <definedName name="A1R12">#REF!</definedName>
    <definedName name="A1R13">#REF!</definedName>
    <definedName name="A1R14">#REF!</definedName>
    <definedName name="A1R15">#REF!</definedName>
    <definedName name="A1R16">#REF!</definedName>
    <definedName name="A1R17">#REF!</definedName>
    <definedName name="A1R18">#REF!</definedName>
    <definedName name="A1R19">#REF!</definedName>
    <definedName name="A1R2">#REF!</definedName>
    <definedName name="A1R20">#REF!</definedName>
    <definedName name="A1R21">#REF!</definedName>
    <definedName name="A1R22">#REF!</definedName>
    <definedName name="A1R23">#REF!</definedName>
    <definedName name="A1R24">#REF!</definedName>
    <definedName name="A1R3">#REF!</definedName>
    <definedName name="A1R4">#REF!</definedName>
    <definedName name="A1R5">#REF!</definedName>
    <definedName name="A1R6">#REF!</definedName>
    <definedName name="A1R7">#REF!</definedName>
    <definedName name="A1R8">#REF!</definedName>
    <definedName name="A1R9">#REF!</definedName>
    <definedName name="A2P1">#REF!</definedName>
    <definedName name="A2P10">#REF!</definedName>
    <definedName name="A2P11">#REF!</definedName>
    <definedName name="A2P12">#REF!</definedName>
    <definedName name="A2P13">#REF!</definedName>
    <definedName name="A2P14">#REF!</definedName>
    <definedName name="A2P15">#REF!</definedName>
    <definedName name="A2P16">#REF!</definedName>
    <definedName name="A2P17">#REF!</definedName>
    <definedName name="A2P18">#REF!</definedName>
    <definedName name="A2P19">#REF!</definedName>
    <definedName name="A2P2">#REF!</definedName>
    <definedName name="A2P20">#REF!</definedName>
    <definedName name="A2P21">#REF!</definedName>
    <definedName name="A2P22">#REF!</definedName>
    <definedName name="A2P23">#REF!</definedName>
    <definedName name="A2P24">#REF!</definedName>
    <definedName name="A2P3">#REF!</definedName>
    <definedName name="A2P4">#REF!</definedName>
    <definedName name="A2P5">#REF!</definedName>
    <definedName name="A2P6">#REF!</definedName>
    <definedName name="A2P7">#REF!</definedName>
    <definedName name="A2P8">#REF!</definedName>
    <definedName name="A2P9">#REF!</definedName>
    <definedName name="A2R1">#REF!</definedName>
    <definedName name="A2R10">#REF!</definedName>
    <definedName name="A2R11">#REF!</definedName>
    <definedName name="A2R12">#REF!</definedName>
    <definedName name="A2R13">#REF!</definedName>
    <definedName name="A2R14">#REF!</definedName>
    <definedName name="A2R15">#REF!</definedName>
    <definedName name="A2R16">#REF!</definedName>
    <definedName name="A2R17">#REF!</definedName>
    <definedName name="A2R18">#REF!</definedName>
    <definedName name="A2R19">#REF!</definedName>
    <definedName name="A2R2">#REF!</definedName>
    <definedName name="A2R20">#REF!</definedName>
    <definedName name="A2R21">#REF!</definedName>
    <definedName name="A2R22">#REF!</definedName>
    <definedName name="A2R23">#REF!</definedName>
    <definedName name="A2R24">#REF!</definedName>
    <definedName name="A2R3">#REF!</definedName>
    <definedName name="A2R4">#REF!</definedName>
    <definedName name="A2R5">#REF!</definedName>
    <definedName name="A2R6">#REF!</definedName>
    <definedName name="A2R7">#REF!</definedName>
    <definedName name="A2R8">#REF!</definedName>
    <definedName name="A2R9">#REF!</definedName>
    <definedName name="A3P1">#REF!</definedName>
    <definedName name="A3P10">#REF!</definedName>
    <definedName name="A3P11">#REF!</definedName>
    <definedName name="A3P12">#REF!</definedName>
    <definedName name="A3P13">#REF!</definedName>
    <definedName name="A3P14">#REF!</definedName>
    <definedName name="A3P15">#REF!</definedName>
    <definedName name="A3P16">#REF!</definedName>
    <definedName name="A3P17">#REF!</definedName>
    <definedName name="A3P18">#REF!</definedName>
    <definedName name="A3P19">#REF!</definedName>
    <definedName name="A3P2">#REF!</definedName>
    <definedName name="A3P20">#REF!</definedName>
    <definedName name="A3P21">#REF!</definedName>
    <definedName name="A3P22">#REF!</definedName>
    <definedName name="A3P23">#REF!</definedName>
    <definedName name="A3P24">#REF!</definedName>
    <definedName name="A3P3">#REF!</definedName>
    <definedName name="A3P4">#REF!</definedName>
    <definedName name="A3P5">#REF!</definedName>
    <definedName name="A3P6">#REF!</definedName>
    <definedName name="A3P7">#REF!</definedName>
    <definedName name="A3P8">#REF!</definedName>
    <definedName name="A3P9">#REF!</definedName>
    <definedName name="A3R1">#REF!</definedName>
    <definedName name="A3R10">#REF!</definedName>
    <definedName name="A3R11">#REF!</definedName>
    <definedName name="A3R12">#REF!</definedName>
    <definedName name="A3R13">#REF!</definedName>
    <definedName name="A3R14">#REF!</definedName>
    <definedName name="A3R15">#REF!</definedName>
    <definedName name="A3R16">#REF!</definedName>
    <definedName name="A3R17">#REF!</definedName>
    <definedName name="A3R18">#REF!</definedName>
    <definedName name="A3R19">#REF!</definedName>
    <definedName name="A3R2">#REF!</definedName>
    <definedName name="A3R20">#REF!</definedName>
    <definedName name="A3R21">#REF!</definedName>
    <definedName name="A3R22">#REF!</definedName>
    <definedName name="A3R23">#REF!</definedName>
    <definedName name="A3R24">#REF!</definedName>
    <definedName name="A3R3">#REF!</definedName>
    <definedName name="A3R4">#REF!</definedName>
    <definedName name="A3R5">#REF!</definedName>
    <definedName name="A3R6">#REF!</definedName>
    <definedName name="A3R7">#REF!</definedName>
    <definedName name="A3R8">#REF!</definedName>
    <definedName name="A3R9">#REF!</definedName>
    <definedName name="A4P1">#REF!</definedName>
    <definedName name="A4P10">#REF!</definedName>
    <definedName name="A4P11">#REF!</definedName>
    <definedName name="A4P12">#REF!</definedName>
    <definedName name="A4P13">#REF!</definedName>
    <definedName name="A4P14">#REF!</definedName>
    <definedName name="A4P15">#REF!</definedName>
    <definedName name="A4P16">#REF!</definedName>
    <definedName name="A4P17">#REF!</definedName>
    <definedName name="A4P18">#REF!</definedName>
    <definedName name="A4P19">#REF!</definedName>
    <definedName name="A4P2">#REF!</definedName>
    <definedName name="A4P20">#REF!</definedName>
    <definedName name="A4P21">#REF!</definedName>
    <definedName name="A4P22">#REF!</definedName>
    <definedName name="A4P23">#REF!</definedName>
    <definedName name="A4P24">#REF!</definedName>
    <definedName name="A4P3">#REF!</definedName>
    <definedName name="A4P4">#REF!</definedName>
    <definedName name="A4P5">#REF!</definedName>
    <definedName name="A4P6">#REF!</definedName>
    <definedName name="A4P7">#REF!</definedName>
    <definedName name="A4P8">#REF!</definedName>
    <definedName name="A4P9">#REF!</definedName>
    <definedName name="A4R1">#REF!</definedName>
    <definedName name="A4R10">#REF!</definedName>
    <definedName name="A4R11">#REF!</definedName>
    <definedName name="A4R12">#REF!</definedName>
    <definedName name="A4R13">#REF!</definedName>
    <definedName name="A4R14">#REF!</definedName>
    <definedName name="A4R15">#REF!</definedName>
    <definedName name="A4R16">#REF!</definedName>
    <definedName name="A4R17">#REF!</definedName>
    <definedName name="A4R18">#REF!</definedName>
    <definedName name="A4R19">#REF!</definedName>
    <definedName name="A4R2">#REF!</definedName>
    <definedName name="A4R20">#REF!</definedName>
    <definedName name="A4R21">#REF!</definedName>
    <definedName name="A4R22">#REF!</definedName>
    <definedName name="A4R23">#REF!</definedName>
    <definedName name="A4R24">#REF!</definedName>
    <definedName name="A4R3">#REF!</definedName>
    <definedName name="A4R4">#REF!</definedName>
    <definedName name="A4R5">#REF!</definedName>
    <definedName name="A4R6">#REF!</definedName>
    <definedName name="A4R7">#REF!</definedName>
    <definedName name="A4R8">#REF!</definedName>
    <definedName name="A4R9">#REF!</definedName>
    <definedName name="A5P1">#REF!</definedName>
    <definedName name="A5P10">#REF!</definedName>
    <definedName name="A5P11">#REF!</definedName>
    <definedName name="A5P12">#REF!</definedName>
    <definedName name="A5P13">#REF!</definedName>
    <definedName name="A5P14">#REF!</definedName>
    <definedName name="A5P15">#REF!</definedName>
    <definedName name="A5P16">#REF!</definedName>
    <definedName name="A5P17">#REF!</definedName>
    <definedName name="A5P18">#REF!</definedName>
    <definedName name="A5P19">#REF!</definedName>
    <definedName name="A5P2">#REF!</definedName>
    <definedName name="A5P20">#REF!</definedName>
    <definedName name="A5P21">#REF!</definedName>
    <definedName name="A5P22">#REF!</definedName>
    <definedName name="A5P23">#REF!</definedName>
    <definedName name="A5P24">#REF!</definedName>
    <definedName name="A5P3">#REF!</definedName>
    <definedName name="A5P4">#REF!</definedName>
    <definedName name="A5P5">#REF!</definedName>
    <definedName name="A5P6">#REF!</definedName>
    <definedName name="A5P7">#REF!</definedName>
    <definedName name="A5P8">#REF!</definedName>
    <definedName name="A5P9">#REF!</definedName>
    <definedName name="A5R1">#REF!</definedName>
    <definedName name="A5R10">#REF!</definedName>
    <definedName name="A5R11">#REF!</definedName>
    <definedName name="A5R12">#REF!</definedName>
    <definedName name="A5R13">#REF!</definedName>
    <definedName name="A5R14">#REF!</definedName>
    <definedName name="A5R15">#REF!</definedName>
    <definedName name="A5R16">#REF!</definedName>
    <definedName name="A5R17">#REF!</definedName>
    <definedName name="A5R18">#REF!</definedName>
    <definedName name="A5R19">#REF!</definedName>
    <definedName name="A5R2">#REF!</definedName>
    <definedName name="A5R20">#REF!</definedName>
    <definedName name="A5R21">#REF!</definedName>
    <definedName name="A5R22">#REF!</definedName>
    <definedName name="A5R23">#REF!</definedName>
    <definedName name="A5R24">#REF!</definedName>
    <definedName name="A5R3">#REF!</definedName>
    <definedName name="A5R4">#REF!</definedName>
    <definedName name="A5R5">#REF!</definedName>
    <definedName name="A5R6">#REF!</definedName>
    <definedName name="A5R7">#REF!</definedName>
    <definedName name="A5R8">#REF!</definedName>
    <definedName name="A5R9">#REF!</definedName>
    <definedName name="add_1">#REF!</definedName>
    <definedName name="add_2">#REF!</definedName>
    <definedName name="add_3">#REF!</definedName>
    <definedName name="add_4">#REF!</definedName>
    <definedName name="add_5">#REF!</definedName>
    <definedName name="add_total">#REF!</definedName>
    <definedName name="_xlnm.Print_Area" localSheetId="3">'RESUMO - ORSE'!$B$1:$K$50</definedName>
    <definedName name="_xlnm.Print_Area" localSheetId="2">'RESUMO - SECID'!$B$1:$K$51</definedName>
    <definedName name="_xlnm.Print_Area" localSheetId="1">'SECID PR_2024'!$A$1:$G$170</definedName>
    <definedName name="AUDITORIO">#REF!</definedName>
    <definedName name="BBB">#REF!</definedName>
    <definedName name="BD">#REF!</definedName>
    <definedName name="BDI">#REF!</definedName>
    <definedName name="BDI_LIC">#REF!</definedName>
    <definedName name="cfs">#REF!</definedName>
    <definedName name="crono">#REF!</definedName>
    <definedName name="CRONO_ADD">#REF!</definedName>
    <definedName name="CRONO_RES">#REF!</definedName>
    <definedName name="DXBDFG">"$#REF!.$A$1:$B$2408"</definedName>
    <definedName name="EDIFICAÇÕES">[1]CLIMATIZAÇÃO!$B$3:$B$9</definedName>
    <definedName name="Excel_BuiltIn__FilterDatabase">"$#REF!.$B$8:$M$9"</definedName>
    <definedName name="Excel_BuiltIn__FilterDatabase_1">"$#REF!.$A$1:$F$5248"</definedName>
    <definedName name="Excel_BuiltIn__FilterDatabase_4">NA()</definedName>
    <definedName name="Excel_BuiltIn__FilterDatabase_4_1">"$#REF!.$#REF!$#REF!:$#REF!$#REF!"</definedName>
    <definedName name="Excel_BuiltIn__FilterDatabase_5">NA()</definedName>
    <definedName name="Excel_BuiltIn__FilterDatabase_6">'SECID PR_2024'!$A$1:$B$170</definedName>
    <definedName name="Excel_BuiltIn__FilterDatabase_6_1">NA()</definedName>
    <definedName name="Excel_BuiltIn__FilterDatabase_6_2">"#REF!"</definedName>
    <definedName name="Excel_BuiltIn__FilterDatabase_6_3">"#REF!"</definedName>
    <definedName name="Excel_BuiltIn_Print_Area">"$#REF!.$B$1:$N$9"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1_1">"#REF!"</definedName>
    <definedName name="Excel_BuiltIn_Print_Area_7_1_1_1_1_1">"#REF!"</definedName>
    <definedName name="Excel_BuiltIn_Print_Area_7_1_1_1_1_1_1">"#REF!"</definedName>
    <definedName name="Excel_BuiltIn_Print_Area_7_1_1_1_1_1_2">"#REF!"</definedName>
    <definedName name="Excel_BuiltIn_Print_Area_7_1_1_1_1_1_3">"#REF!"</definedName>
    <definedName name="Excel_BuiltIn_Print_Area_7_1_1_1_1_2">"#REF!"</definedName>
    <definedName name="Excel_BuiltIn_Print_Area_7_1_1_1_1_3">"#REF!"</definedName>
    <definedName name="Excel_BuiltIn_Print_Area_7_1_1_1_2">"#REF!"</definedName>
    <definedName name="Excel_BuiltIn_Print_Area_7_1_1_1_3">"#REF!"</definedName>
    <definedName name="Excel_BuiltIn_Print_Area_7_1_1_2">"#REF!"</definedName>
    <definedName name="Excel_BuiltIn_Print_Area_7_1_1_3">"#REF!"</definedName>
    <definedName name="Excel_BuiltIn_Print_Area_7_1_2">"#REF!"</definedName>
    <definedName name="Excel_BuiltIn_Print_Area_7_1_3">"#REF!"</definedName>
    <definedName name="Excel_BuiltIn_Print_Area_7_2">"#REF!"</definedName>
    <definedName name="Excel_BuiltIn_Print_Area_7_3">"#REF!"</definedName>
    <definedName name="Excel_BuiltIn_Print_Titles">"$#REF!.$A$1:$AMJ$9"</definedName>
    <definedName name="ini">'[2] '!#REF!</definedName>
    <definedName name="k">"$#REF!.$A$1:$B$2408"</definedName>
    <definedName name="matriz">'[2] '!#REF!</definedName>
    <definedName name="MINUS">#REF!</definedName>
    <definedName name="Plan1">"$#REF!.$A$1:$B$2408"</definedName>
    <definedName name="PLUS">#REF!</definedName>
    <definedName name="po">#REF!</definedName>
    <definedName name="REF">'[2] '!$F$464:$F$489</definedName>
    <definedName name="rere">#REF!</definedName>
    <definedName name="RODAPÉ">[2]Relatório!#REF!</definedName>
    <definedName name="rt">#REF!</definedName>
    <definedName name="S10P1">#REF!</definedName>
    <definedName name="S10P10">#REF!</definedName>
    <definedName name="S10P11">#REF!</definedName>
    <definedName name="S10P12">#REF!</definedName>
    <definedName name="S10P13">#REF!</definedName>
    <definedName name="S10P14">#REF!</definedName>
    <definedName name="S10P15">#REF!</definedName>
    <definedName name="S10P16">#REF!</definedName>
    <definedName name="S10P17">#REF!</definedName>
    <definedName name="S10P18">#REF!</definedName>
    <definedName name="S10P19">#REF!</definedName>
    <definedName name="S10P2">#REF!</definedName>
    <definedName name="S10P20">#REF!</definedName>
    <definedName name="S10P21">#REF!</definedName>
    <definedName name="S10P22">#REF!</definedName>
    <definedName name="S10P23">#REF!</definedName>
    <definedName name="S10P24">#REF!</definedName>
    <definedName name="S10P3">#REF!</definedName>
    <definedName name="S10P4">#REF!</definedName>
    <definedName name="S10P5">#REF!</definedName>
    <definedName name="S10P6">#REF!</definedName>
    <definedName name="S10P7">#REF!</definedName>
    <definedName name="S10P8">#REF!</definedName>
    <definedName name="S10P9">#REF!</definedName>
    <definedName name="S10R1">#REF!</definedName>
    <definedName name="S10R10">#REF!</definedName>
    <definedName name="S10R11">#REF!</definedName>
    <definedName name="S10R12">#REF!</definedName>
    <definedName name="S10R13">#REF!</definedName>
    <definedName name="S10R14">#REF!</definedName>
    <definedName name="S10R15">#REF!</definedName>
    <definedName name="S10R16">#REF!</definedName>
    <definedName name="S10R17">#REF!</definedName>
    <definedName name="S10R18">#REF!</definedName>
    <definedName name="S10R19">#REF!</definedName>
    <definedName name="S10R2">#REF!</definedName>
    <definedName name="S10R20">#REF!</definedName>
    <definedName name="S10R21">#REF!</definedName>
    <definedName name="S10R22">#REF!</definedName>
    <definedName name="S10R23">#REF!</definedName>
    <definedName name="S10R24">#REF!</definedName>
    <definedName name="S10R3">#REF!</definedName>
    <definedName name="S10R4">#REF!</definedName>
    <definedName name="S10R5">#REF!</definedName>
    <definedName name="S10R6">#REF!</definedName>
    <definedName name="S10R7">#REF!</definedName>
    <definedName name="S10R8">#REF!</definedName>
    <definedName name="S10R9">#REF!</definedName>
    <definedName name="S11P1">#REF!</definedName>
    <definedName name="S11P10">#REF!</definedName>
    <definedName name="S11P11">#REF!</definedName>
    <definedName name="S11P12">#REF!</definedName>
    <definedName name="S11P13">#REF!</definedName>
    <definedName name="S11P14">#REF!</definedName>
    <definedName name="S11P15">#REF!</definedName>
    <definedName name="S11P16">#REF!</definedName>
    <definedName name="S11P17">#REF!</definedName>
    <definedName name="S11P18">#REF!</definedName>
    <definedName name="S11P19">#REF!</definedName>
    <definedName name="S11P2">#REF!</definedName>
    <definedName name="S11P20">#REF!</definedName>
    <definedName name="S11P21">#REF!</definedName>
    <definedName name="S11P22">#REF!</definedName>
    <definedName name="S11P23">#REF!</definedName>
    <definedName name="S11P24">#REF!</definedName>
    <definedName name="S11P3">#REF!</definedName>
    <definedName name="S11P4">#REF!</definedName>
    <definedName name="S11P5">#REF!</definedName>
    <definedName name="S11P6">#REF!</definedName>
    <definedName name="S11P7">#REF!</definedName>
    <definedName name="S11P8">#REF!</definedName>
    <definedName name="S11P9">#REF!</definedName>
    <definedName name="S11R1">#REF!</definedName>
    <definedName name="S11R10">#REF!</definedName>
    <definedName name="S11R11">#REF!</definedName>
    <definedName name="S11R12">#REF!</definedName>
    <definedName name="S11R13">#REF!</definedName>
    <definedName name="S11R14">#REF!</definedName>
    <definedName name="S11R15">#REF!</definedName>
    <definedName name="S11R16">#REF!</definedName>
    <definedName name="S11R17">#REF!</definedName>
    <definedName name="S11R18">#REF!</definedName>
    <definedName name="S11R19">#REF!</definedName>
    <definedName name="S11R2">#REF!</definedName>
    <definedName name="S11R20">#REF!</definedName>
    <definedName name="S11R21">#REF!</definedName>
    <definedName name="S11R22">#REF!</definedName>
    <definedName name="S11R23">#REF!</definedName>
    <definedName name="S11R24">#REF!</definedName>
    <definedName name="S11R3">#REF!</definedName>
    <definedName name="S11R4">#REF!</definedName>
    <definedName name="S11R5">#REF!</definedName>
    <definedName name="S11R6">#REF!</definedName>
    <definedName name="S11R7">#REF!</definedName>
    <definedName name="S11R8">#REF!</definedName>
    <definedName name="S11R9">#REF!</definedName>
    <definedName name="S12P1">#REF!</definedName>
    <definedName name="S12P10">#REF!</definedName>
    <definedName name="S12P11">#REF!</definedName>
    <definedName name="S12P12">#REF!</definedName>
    <definedName name="S12P13">#REF!</definedName>
    <definedName name="S12P14">#REF!</definedName>
    <definedName name="S12P15">#REF!</definedName>
    <definedName name="S12P16">#REF!</definedName>
    <definedName name="S12P17">#REF!</definedName>
    <definedName name="S12P18">#REF!</definedName>
    <definedName name="S12P19">#REF!</definedName>
    <definedName name="S12P2">#REF!</definedName>
    <definedName name="S12P20">#REF!</definedName>
    <definedName name="S12P21">#REF!</definedName>
    <definedName name="S12P22">#REF!</definedName>
    <definedName name="S12P23">#REF!</definedName>
    <definedName name="S12P24">#REF!</definedName>
    <definedName name="S12P3">#REF!</definedName>
    <definedName name="S12P4">#REF!</definedName>
    <definedName name="S12P5">#REF!</definedName>
    <definedName name="S12P6">#REF!</definedName>
    <definedName name="S12P7">#REF!</definedName>
    <definedName name="S12P8">#REF!</definedName>
    <definedName name="S12P9">#REF!</definedName>
    <definedName name="S12R1">#REF!</definedName>
    <definedName name="S12R10">#REF!</definedName>
    <definedName name="S12R11">#REF!</definedName>
    <definedName name="S12R12">#REF!</definedName>
    <definedName name="S12R13">#REF!</definedName>
    <definedName name="S12R14">#REF!</definedName>
    <definedName name="S12R15">#REF!</definedName>
    <definedName name="S12R16">#REF!</definedName>
    <definedName name="S12R17">#REF!</definedName>
    <definedName name="S12R18">#REF!</definedName>
    <definedName name="S12R19">#REF!</definedName>
    <definedName name="S12R2">#REF!</definedName>
    <definedName name="S12R20">#REF!</definedName>
    <definedName name="S12R21">#REF!</definedName>
    <definedName name="S12R22">#REF!</definedName>
    <definedName name="S12R23">#REF!</definedName>
    <definedName name="S12R24">#REF!</definedName>
    <definedName name="S12R3">#REF!</definedName>
    <definedName name="S12R4">#REF!</definedName>
    <definedName name="S12R5">#REF!</definedName>
    <definedName name="S12R6">#REF!</definedName>
    <definedName name="S12R7">#REF!</definedName>
    <definedName name="S12R8">#REF!</definedName>
    <definedName name="S12R9">#REF!</definedName>
    <definedName name="S13P1">#REF!</definedName>
    <definedName name="S13P10">#REF!</definedName>
    <definedName name="S13P11">#REF!</definedName>
    <definedName name="S13P12">#REF!</definedName>
    <definedName name="S13P13">#REF!</definedName>
    <definedName name="S13P14">#REF!</definedName>
    <definedName name="S13P15">#REF!</definedName>
    <definedName name="S13P16">#REF!</definedName>
    <definedName name="S13P17">#REF!</definedName>
    <definedName name="S13P18">#REF!</definedName>
    <definedName name="S13P19">#REF!</definedName>
    <definedName name="S13P2">#REF!</definedName>
    <definedName name="S13P20">#REF!</definedName>
    <definedName name="S13P21">#REF!</definedName>
    <definedName name="S13P22">#REF!</definedName>
    <definedName name="S13P23">#REF!</definedName>
    <definedName name="S13P24">#REF!</definedName>
    <definedName name="S13P3">#REF!</definedName>
    <definedName name="S13P4">#REF!</definedName>
    <definedName name="S13P5">#REF!</definedName>
    <definedName name="S13P6">#REF!</definedName>
    <definedName name="S13P7">#REF!</definedName>
    <definedName name="S13P8">#REF!</definedName>
    <definedName name="S13P9">#REF!</definedName>
    <definedName name="S13R1">#REF!</definedName>
    <definedName name="S13R10">#REF!</definedName>
    <definedName name="S13R11">#REF!</definedName>
    <definedName name="S13R12">#REF!</definedName>
    <definedName name="S13R13">#REF!</definedName>
    <definedName name="S13R14">#REF!</definedName>
    <definedName name="S13R15">#REF!</definedName>
    <definedName name="S13R16">#REF!</definedName>
    <definedName name="S13R17">#REF!</definedName>
    <definedName name="S13R18">#REF!</definedName>
    <definedName name="S13R19">#REF!</definedName>
    <definedName name="S13R2">#REF!</definedName>
    <definedName name="S13R20">#REF!</definedName>
    <definedName name="S13R21">#REF!</definedName>
    <definedName name="S13R22">#REF!</definedName>
    <definedName name="S13R23">#REF!</definedName>
    <definedName name="S13R24">#REF!</definedName>
    <definedName name="S13R3">#REF!</definedName>
    <definedName name="S13R4">#REF!</definedName>
    <definedName name="S13R5">#REF!</definedName>
    <definedName name="S13R6">#REF!</definedName>
    <definedName name="S13R7">#REF!</definedName>
    <definedName name="S13R8">#REF!</definedName>
    <definedName name="S13R9">#REF!</definedName>
    <definedName name="S14P1">#REF!</definedName>
    <definedName name="S14P10">#REF!</definedName>
    <definedName name="S14P11">#REF!</definedName>
    <definedName name="S14P12">#REF!</definedName>
    <definedName name="S14P13">#REF!</definedName>
    <definedName name="S14P14">#REF!</definedName>
    <definedName name="S14P15">#REF!</definedName>
    <definedName name="S14P16">#REF!</definedName>
    <definedName name="S14P17">#REF!</definedName>
    <definedName name="S14P18">#REF!</definedName>
    <definedName name="S14P19">#REF!</definedName>
    <definedName name="S14P2">#REF!</definedName>
    <definedName name="S14P20">#REF!</definedName>
    <definedName name="S14P21">#REF!</definedName>
    <definedName name="S14P22">#REF!</definedName>
    <definedName name="S14P23">#REF!</definedName>
    <definedName name="S14P24">#REF!</definedName>
    <definedName name="S14P3">#REF!</definedName>
    <definedName name="S14P4">#REF!</definedName>
    <definedName name="S14P5">#REF!</definedName>
    <definedName name="S14P6">#REF!</definedName>
    <definedName name="S14P7">#REF!</definedName>
    <definedName name="S14P8">#REF!</definedName>
    <definedName name="S14P9">#REF!</definedName>
    <definedName name="S14R1">#REF!</definedName>
    <definedName name="S14R10">#REF!</definedName>
    <definedName name="S14R11">#REF!</definedName>
    <definedName name="S14R12">#REF!</definedName>
    <definedName name="S14R13">#REF!</definedName>
    <definedName name="S14R14">#REF!</definedName>
    <definedName name="S14R15">#REF!</definedName>
    <definedName name="S14R16">#REF!</definedName>
    <definedName name="S14R17">#REF!</definedName>
    <definedName name="S14R18">#REF!</definedName>
    <definedName name="S14R19">#REF!</definedName>
    <definedName name="S14R2">#REF!</definedName>
    <definedName name="S14R20">#REF!</definedName>
    <definedName name="S14R21">#REF!</definedName>
    <definedName name="S14R22">#REF!</definedName>
    <definedName name="S14R23">#REF!</definedName>
    <definedName name="S14R24">#REF!</definedName>
    <definedName name="S14R3">#REF!</definedName>
    <definedName name="S14R4">#REF!</definedName>
    <definedName name="S14R5">#REF!</definedName>
    <definedName name="S14R6">#REF!</definedName>
    <definedName name="S14R7">#REF!</definedName>
    <definedName name="S14R8">#REF!</definedName>
    <definedName name="S14R9">#REF!</definedName>
    <definedName name="S15P1">#REF!</definedName>
    <definedName name="S15P10">#REF!</definedName>
    <definedName name="S15P11">#REF!</definedName>
    <definedName name="S15P12">#REF!</definedName>
    <definedName name="S15P13">#REF!</definedName>
    <definedName name="S15P14">#REF!</definedName>
    <definedName name="S15P15">#REF!</definedName>
    <definedName name="S15P16">#REF!</definedName>
    <definedName name="S15P17">#REF!</definedName>
    <definedName name="S15P18">#REF!</definedName>
    <definedName name="S15P19">#REF!</definedName>
    <definedName name="S15P2">#REF!</definedName>
    <definedName name="S15P20">#REF!</definedName>
    <definedName name="S15P21">#REF!</definedName>
    <definedName name="S15P22">#REF!</definedName>
    <definedName name="S15P23">#REF!</definedName>
    <definedName name="S15P24">#REF!</definedName>
    <definedName name="S15P3">#REF!</definedName>
    <definedName name="S15P4">#REF!</definedName>
    <definedName name="S15P5">#REF!</definedName>
    <definedName name="S15P6">#REF!</definedName>
    <definedName name="S15P7">#REF!</definedName>
    <definedName name="S15P8">#REF!</definedName>
    <definedName name="S15P9">#REF!</definedName>
    <definedName name="S15R1">#REF!</definedName>
    <definedName name="S15R10">#REF!</definedName>
    <definedName name="S15R11">#REF!</definedName>
    <definedName name="S15R12">#REF!</definedName>
    <definedName name="S15R13">#REF!</definedName>
    <definedName name="S15R14">#REF!</definedName>
    <definedName name="S15R15">#REF!</definedName>
    <definedName name="S15R16">#REF!</definedName>
    <definedName name="S15R17">#REF!</definedName>
    <definedName name="S15R18">#REF!</definedName>
    <definedName name="S15R19">#REF!</definedName>
    <definedName name="S15R2">#REF!</definedName>
    <definedName name="S15R20">#REF!</definedName>
    <definedName name="S15R21">#REF!</definedName>
    <definedName name="S15R22">#REF!</definedName>
    <definedName name="S15R23">#REF!</definedName>
    <definedName name="S15R24">#REF!</definedName>
    <definedName name="S15R3">#REF!</definedName>
    <definedName name="S15R4">#REF!</definedName>
    <definedName name="S15R5">#REF!</definedName>
    <definedName name="S15R6">#REF!</definedName>
    <definedName name="S15R7">#REF!</definedName>
    <definedName name="S15R8">#REF!</definedName>
    <definedName name="S15R9">#REF!</definedName>
    <definedName name="S16P1">#REF!</definedName>
    <definedName name="S16P10">#REF!</definedName>
    <definedName name="S16P11">#REF!</definedName>
    <definedName name="S16P12">#REF!</definedName>
    <definedName name="S16P13">#REF!</definedName>
    <definedName name="S16P14">#REF!</definedName>
    <definedName name="S16P15">#REF!</definedName>
    <definedName name="S16P16">#REF!</definedName>
    <definedName name="S16P17">#REF!</definedName>
    <definedName name="S16P18">#REF!</definedName>
    <definedName name="S16P19">#REF!</definedName>
    <definedName name="S16P2">#REF!</definedName>
    <definedName name="S16P20">#REF!</definedName>
    <definedName name="S16P21">#REF!</definedName>
    <definedName name="S16P22">#REF!</definedName>
    <definedName name="S16P23">#REF!</definedName>
    <definedName name="S16P24">#REF!</definedName>
    <definedName name="S16P3">#REF!</definedName>
    <definedName name="S16P4">#REF!</definedName>
    <definedName name="S16P5">#REF!</definedName>
    <definedName name="S16P6">#REF!</definedName>
    <definedName name="S16P7">#REF!</definedName>
    <definedName name="S16P8">#REF!</definedName>
    <definedName name="S16P9">#REF!</definedName>
    <definedName name="S16R1">#REF!</definedName>
    <definedName name="S16R10">#REF!</definedName>
    <definedName name="S16R11">#REF!</definedName>
    <definedName name="S16R12">#REF!</definedName>
    <definedName name="S16R13">#REF!</definedName>
    <definedName name="S16R14">#REF!</definedName>
    <definedName name="S16R15">#REF!</definedName>
    <definedName name="S16R16">#REF!</definedName>
    <definedName name="S16R17">#REF!</definedName>
    <definedName name="S16R18">#REF!</definedName>
    <definedName name="S16R19">#REF!</definedName>
    <definedName name="S16R2">#REF!</definedName>
    <definedName name="S16R20">#REF!</definedName>
    <definedName name="S16R21">#REF!</definedName>
    <definedName name="S16R22">#REF!</definedName>
    <definedName name="S16R23">#REF!</definedName>
    <definedName name="S16R24">#REF!</definedName>
    <definedName name="S16R3">#REF!</definedName>
    <definedName name="S16R4">#REF!</definedName>
    <definedName name="S16R5">#REF!</definedName>
    <definedName name="S16R6">#REF!</definedName>
    <definedName name="S16R7">#REF!</definedName>
    <definedName name="S16R8">#REF!</definedName>
    <definedName name="S16R9">#REF!</definedName>
    <definedName name="S17P1">#REF!</definedName>
    <definedName name="S17P10">#REF!</definedName>
    <definedName name="S17P11">#REF!</definedName>
    <definedName name="S17P12">#REF!</definedName>
    <definedName name="S17P13">#REF!</definedName>
    <definedName name="S17P14">#REF!</definedName>
    <definedName name="S17P15">#REF!</definedName>
    <definedName name="S17P16">#REF!</definedName>
    <definedName name="S17P17">#REF!</definedName>
    <definedName name="S17P18">#REF!</definedName>
    <definedName name="S17P19">#REF!</definedName>
    <definedName name="S17P2">#REF!</definedName>
    <definedName name="S17P20">#REF!</definedName>
    <definedName name="S17P21">#REF!</definedName>
    <definedName name="S17P22">#REF!</definedName>
    <definedName name="S17P23">#REF!</definedName>
    <definedName name="S17P24">#REF!</definedName>
    <definedName name="S17P3">#REF!</definedName>
    <definedName name="S17P4">#REF!</definedName>
    <definedName name="S17P5">#REF!</definedName>
    <definedName name="S17P6">#REF!</definedName>
    <definedName name="S17P7">#REF!</definedName>
    <definedName name="S17P8">#REF!</definedName>
    <definedName name="S17P9">#REF!</definedName>
    <definedName name="S17R1">#REF!</definedName>
    <definedName name="S17R10">#REF!</definedName>
    <definedName name="S17R11">#REF!</definedName>
    <definedName name="S17R12">#REF!</definedName>
    <definedName name="S17R13">#REF!</definedName>
    <definedName name="S17R14">#REF!</definedName>
    <definedName name="S17R15">#REF!</definedName>
    <definedName name="S17R16">#REF!</definedName>
    <definedName name="S17R17">#REF!</definedName>
    <definedName name="S17R18">#REF!</definedName>
    <definedName name="S17R19">#REF!</definedName>
    <definedName name="S17R2">#REF!</definedName>
    <definedName name="S17R20">#REF!</definedName>
    <definedName name="S17R21">#REF!</definedName>
    <definedName name="S17R22">#REF!</definedName>
    <definedName name="S17R23">#REF!</definedName>
    <definedName name="S17R24">#REF!</definedName>
    <definedName name="S17R3">#REF!</definedName>
    <definedName name="S17R4">#REF!</definedName>
    <definedName name="S17R5">#REF!</definedName>
    <definedName name="S17R6">#REF!</definedName>
    <definedName name="S17R7">#REF!</definedName>
    <definedName name="S17R8">#REF!</definedName>
    <definedName name="S17R9">#REF!</definedName>
    <definedName name="S18P1">#REF!</definedName>
    <definedName name="S18P10">#REF!</definedName>
    <definedName name="S18P11">#REF!</definedName>
    <definedName name="S18P12">#REF!</definedName>
    <definedName name="S18P13">#REF!</definedName>
    <definedName name="S18P14">#REF!</definedName>
    <definedName name="S18P15">#REF!</definedName>
    <definedName name="S18P16">#REF!</definedName>
    <definedName name="S18P17">#REF!</definedName>
    <definedName name="S18P18">#REF!</definedName>
    <definedName name="S18P19">#REF!</definedName>
    <definedName name="S18P2">#REF!</definedName>
    <definedName name="S18P20">#REF!</definedName>
    <definedName name="S18P21">#REF!</definedName>
    <definedName name="S18P22">#REF!</definedName>
    <definedName name="S18P23">#REF!</definedName>
    <definedName name="S18P24">#REF!</definedName>
    <definedName name="S18P3">#REF!</definedName>
    <definedName name="S18P4">#REF!</definedName>
    <definedName name="S18P5">#REF!</definedName>
    <definedName name="S18P6">#REF!</definedName>
    <definedName name="S18P7">#REF!</definedName>
    <definedName name="S18P8">#REF!</definedName>
    <definedName name="S18P9">#REF!</definedName>
    <definedName name="S18R1">#REF!</definedName>
    <definedName name="S18R10">#REF!</definedName>
    <definedName name="S18R11">#REF!</definedName>
    <definedName name="S18R12">#REF!</definedName>
    <definedName name="S18R13">#REF!</definedName>
    <definedName name="S18R14">#REF!</definedName>
    <definedName name="S18R15">#REF!</definedName>
    <definedName name="S18R16">#REF!</definedName>
    <definedName name="S18R17">#REF!</definedName>
    <definedName name="S18R18">#REF!</definedName>
    <definedName name="S18R19">#REF!</definedName>
    <definedName name="S18R2">#REF!</definedName>
    <definedName name="S18R20">#REF!</definedName>
    <definedName name="S18R21">#REF!</definedName>
    <definedName name="S18R22">#REF!</definedName>
    <definedName name="S18R23">#REF!</definedName>
    <definedName name="S18R24">#REF!</definedName>
    <definedName name="S18R3">#REF!</definedName>
    <definedName name="S18R4">#REF!</definedName>
    <definedName name="S18R5">#REF!</definedName>
    <definedName name="S18R6">#REF!</definedName>
    <definedName name="S18R7">#REF!</definedName>
    <definedName name="S18R8">#REF!</definedName>
    <definedName name="S18R9">#REF!</definedName>
    <definedName name="S19P1">#REF!</definedName>
    <definedName name="S19P10">#REF!</definedName>
    <definedName name="S19P11">#REF!</definedName>
    <definedName name="S19P12">#REF!</definedName>
    <definedName name="S19P13">#REF!</definedName>
    <definedName name="S19P14">#REF!</definedName>
    <definedName name="S19P15">#REF!</definedName>
    <definedName name="S19P16">#REF!</definedName>
    <definedName name="S19P17">#REF!</definedName>
    <definedName name="S19P18">#REF!</definedName>
    <definedName name="S19P19">#REF!</definedName>
    <definedName name="S19P2">#REF!</definedName>
    <definedName name="S19P20">#REF!</definedName>
    <definedName name="S19P21">#REF!</definedName>
    <definedName name="S19P22">#REF!</definedName>
    <definedName name="S19P23">#REF!</definedName>
    <definedName name="S19P24">#REF!</definedName>
    <definedName name="S19P3">#REF!</definedName>
    <definedName name="S19P4">#REF!</definedName>
    <definedName name="S19P5">#REF!</definedName>
    <definedName name="S19P6">#REF!</definedName>
    <definedName name="S19P7">#REF!</definedName>
    <definedName name="S19P8">#REF!</definedName>
    <definedName name="S19P9">#REF!</definedName>
    <definedName name="S19R1">#REF!</definedName>
    <definedName name="S19R10">#REF!</definedName>
    <definedName name="S19R11">#REF!</definedName>
    <definedName name="S19R12">#REF!</definedName>
    <definedName name="S19R13">#REF!</definedName>
    <definedName name="S19R14">#REF!</definedName>
    <definedName name="S19R15">#REF!</definedName>
    <definedName name="S19R16">#REF!</definedName>
    <definedName name="S19R17">#REF!</definedName>
    <definedName name="S19R18">#REF!</definedName>
    <definedName name="S19R19">#REF!</definedName>
    <definedName name="S19R2">#REF!</definedName>
    <definedName name="S19R20">#REF!</definedName>
    <definedName name="S19R21">#REF!</definedName>
    <definedName name="S19R22">#REF!</definedName>
    <definedName name="S19R23">#REF!</definedName>
    <definedName name="S19R24">#REF!</definedName>
    <definedName name="S19R3">#REF!</definedName>
    <definedName name="S19R4">#REF!</definedName>
    <definedName name="S19R5">#REF!</definedName>
    <definedName name="S19R6">#REF!</definedName>
    <definedName name="S19R7">#REF!</definedName>
    <definedName name="S19R8">#REF!</definedName>
    <definedName name="S19R9">#REF!</definedName>
    <definedName name="S1P1">#REF!</definedName>
    <definedName name="S1P10">#REF!</definedName>
    <definedName name="S1P11">#REF!</definedName>
    <definedName name="S1P12">#REF!</definedName>
    <definedName name="S1P13">#REF!</definedName>
    <definedName name="S1P14">#REF!</definedName>
    <definedName name="S1P15">#REF!</definedName>
    <definedName name="S1P16">#REF!</definedName>
    <definedName name="S1P17">#REF!</definedName>
    <definedName name="S1P18">#REF!</definedName>
    <definedName name="S1P19">#REF!</definedName>
    <definedName name="S1P2">#REF!</definedName>
    <definedName name="S1P20">#REF!</definedName>
    <definedName name="S1P21">#REF!</definedName>
    <definedName name="S1P22">#REF!</definedName>
    <definedName name="S1P23">#REF!</definedName>
    <definedName name="S1P24">#REF!</definedName>
    <definedName name="S1P3">#REF!</definedName>
    <definedName name="S1P4">#REF!</definedName>
    <definedName name="S1P5">#REF!</definedName>
    <definedName name="S1P6">#REF!</definedName>
    <definedName name="S1P7">#REF!</definedName>
    <definedName name="S1P8">#REF!</definedName>
    <definedName name="S1P9">#REF!</definedName>
    <definedName name="S1R1">#REF!</definedName>
    <definedName name="S1R10">#REF!</definedName>
    <definedName name="S1R11">#REF!</definedName>
    <definedName name="S1R12">#REF!</definedName>
    <definedName name="S1R13">#REF!</definedName>
    <definedName name="S1R14">#REF!</definedName>
    <definedName name="S1R15">#REF!</definedName>
    <definedName name="S1R16">#REF!</definedName>
    <definedName name="S1R17">#REF!</definedName>
    <definedName name="S1R18">#REF!</definedName>
    <definedName name="S1R19">#REF!</definedName>
    <definedName name="S1R2">#REF!</definedName>
    <definedName name="S1R20">#REF!</definedName>
    <definedName name="S1R21">#REF!</definedName>
    <definedName name="S1R22">#REF!</definedName>
    <definedName name="S1R23">#REF!</definedName>
    <definedName name="S1R24">#REF!</definedName>
    <definedName name="S1R3">#REF!</definedName>
    <definedName name="S1R4">#REF!</definedName>
    <definedName name="S1R5">#REF!</definedName>
    <definedName name="S1R6">#REF!</definedName>
    <definedName name="S1R7">#REF!</definedName>
    <definedName name="S1R8">#REF!</definedName>
    <definedName name="S1R9">#REF!</definedName>
    <definedName name="S20P1">#REF!</definedName>
    <definedName name="S20P10">#REF!</definedName>
    <definedName name="S20P11">#REF!</definedName>
    <definedName name="S20P12">#REF!</definedName>
    <definedName name="S20P13">#REF!</definedName>
    <definedName name="S20P14">#REF!</definedName>
    <definedName name="S20P15">#REF!</definedName>
    <definedName name="S20P16">#REF!</definedName>
    <definedName name="S20P17">#REF!</definedName>
    <definedName name="S20P18">#REF!</definedName>
    <definedName name="S20P19">#REF!</definedName>
    <definedName name="S20P2">#REF!</definedName>
    <definedName name="S20P20">#REF!</definedName>
    <definedName name="S20P21">#REF!</definedName>
    <definedName name="S20P22">#REF!</definedName>
    <definedName name="S20P23">#REF!</definedName>
    <definedName name="S20P24">#REF!</definedName>
    <definedName name="S20P3">#REF!</definedName>
    <definedName name="S20P4">#REF!</definedName>
    <definedName name="S20P5">#REF!</definedName>
    <definedName name="S20P6">#REF!</definedName>
    <definedName name="S20P7">#REF!</definedName>
    <definedName name="S20P8">#REF!</definedName>
    <definedName name="S20P9">#REF!</definedName>
    <definedName name="S20R1">#REF!</definedName>
    <definedName name="S20R10">#REF!</definedName>
    <definedName name="S20R11">#REF!</definedName>
    <definedName name="S20R12">#REF!</definedName>
    <definedName name="S20R13">#REF!</definedName>
    <definedName name="S20R14">#REF!</definedName>
    <definedName name="S20R15">#REF!</definedName>
    <definedName name="S20R16">#REF!</definedName>
    <definedName name="S20R17">#REF!</definedName>
    <definedName name="S20R18">#REF!</definedName>
    <definedName name="S20R19">#REF!</definedName>
    <definedName name="S20R2">#REF!</definedName>
    <definedName name="S20R20">#REF!</definedName>
    <definedName name="S20R21">#REF!</definedName>
    <definedName name="S20R22">#REF!</definedName>
    <definedName name="S20R23">#REF!</definedName>
    <definedName name="S20R24">#REF!</definedName>
    <definedName name="S20R3">#REF!</definedName>
    <definedName name="S20R4">#REF!</definedName>
    <definedName name="S20R5">#REF!</definedName>
    <definedName name="S20R6">#REF!</definedName>
    <definedName name="S20R7">#REF!</definedName>
    <definedName name="S20R8">#REF!</definedName>
    <definedName name="S20R9">#REF!</definedName>
    <definedName name="S21P1">#REF!</definedName>
    <definedName name="S21P10">#REF!</definedName>
    <definedName name="S21P11">#REF!</definedName>
    <definedName name="S21P12">#REF!</definedName>
    <definedName name="S21P13">#REF!</definedName>
    <definedName name="S21P14">#REF!</definedName>
    <definedName name="S21P15">#REF!</definedName>
    <definedName name="S21P16">#REF!</definedName>
    <definedName name="S21P17">#REF!</definedName>
    <definedName name="S21P18">#REF!</definedName>
    <definedName name="S21P19">#REF!</definedName>
    <definedName name="S21P2">#REF!</definedName>
    <definedName name="S21P20">#REF!</definedName>
    <definedName name="S21P21">#REF!</definedName>
    <definedName name="S21P22">#REF!</definedName>
    <definedName name="S21P23">#REF!</definedName>
    <definedName name="S21P24">#REF!</definedName>
    <definedName name="S21P3">#REF!</definedName>
    <definedName name="S21P4">#REF!</definedName>
    <definedName name="S21P5">#REF!</definedName>
    <definedName name="S21P6">#REF!</definedName>
    <definedName name="S21P7">#REF!</definedName>
    <definedName name="S21P8">#REF!</definedName>
    <definedName name="S21P9">#REF!</definedName>
    <definedName name="S21R1">#REF!</definedName>
    <definedName name="S21R10">#REF!</definedName>
    <definedName name="S21R11">#REF!</definedName>
    <definedName name="S21R12">#REF!</definedName>
    <definedName name="S21R13">#REF!</definedName>
    <definedName name="S21R14">#REF!</definedName>
    <definedName name="S21R15">#REF!</definedName>
    <definedName name="S21R16">#REF!</definedName>
    <definedName name="S21R17">#REF!</definedName>
    <definedName name="S21R18">#REF!</definedName>
    <definedName name="S21R19">#REF!</definedName>
    <definedName name="S21R2">#REF!</definedName>
    <definedName name="S21R20">#REF!</definedName>
    <definedName name="S21R21">#REF!</definedName>
    <definedName name="S21R22">#REF!</definedName>
    <definedName name="S21R23">#REF!</definedName>
    <definedName name="S21R24">#REF!</definedName>
    <definedName name="S21R3">#REF!</definedName>
    <definedName name="S21R4">#REF!</definedName>
    <definedName name="S21R5">#REF!</definedName>
    <definedName name="S21R6">#REF!</definedName>
    <definedName name="S21R7">#REF!</definedName>
    <definedName name="S21R8">#REF!</definedName>
    <definedName name="S21R9">#REF!</definedName>
    <definedName name="S22P1">#REF!</definedName>
    <definedName name="S22P10">#REF!</definedName>
    <definedName name="S22P11">#REF!</definedName>
    <definedName name="S22P12">#REF!</definedName>
    <definedName name="S22P13">#REF!</definedName>
    <definedName name="S22P14">#REF!</definedName>
    <definedName name="S22P15">#REF!</definedName>
    <definedName name="S22P16">#REF!</definedName>
    <definedName name="S22P17">#REF!</definedName>
    <definedName name="S22P18">#REF!</definedName>
    <definedName name="S22P19">#REF!</definedName>
    <definedName name="S22P2">#REF!</definedName>
    <definedName name="S22P20">#REF!</definedName>
    <definedName name="S22P21">#REF!</definedName>
    <definedName name="S22P22">#REF!</definedName>
    <definedName name="S22P23">#REF!</definedName>
    <definedName name="S22P24">#REF!</definedName>
    <definedName name="S22P3">#REF!</definedName>
    <definedName name="S22P4">#REF!</definedName>
    <definedName name="S22P5">#REF!</definedName>
    <definedName name="S22P6">#REF!</definedName>
    <definedName name="S22P7">#REF!</definedName>
    <definedName name="S22P8">#REF!</definedName>
    <definedName name="S22P9">#REF!</definedName>
    <definedName name="S22R1">#REF!</definedName>
    <definedName name="S22R10">#REF!</definedName>
    <definedName name="S22R11">#REF!</definedName>
    <definedName name="S22R12">#REF!</definedName>
    <definedName name="S22R13">#REF!</definedName>
    <definedName name="S22R14">#REF!</definedName>
    <definedName name="S22R15">#REF!</definedName>
    <definedName name="S22R16">#REF!</definedName>
    <definedName name="S22R17">#REF!</definedName>
    <definedName name="S22R18">#REF!</definedName>
    <definedName name="S22R19">#REF!</definedName>
    <definedName name="S22R2">#REF!</definedName>
    <definedName name="S22R20">#REF!</definedName>
    <definedName name="S22R21">#REF!</definedName>
    <definedName name="S22R22">#REF!</definedName>
    <definedName name="S22R23">#REF!</definedName>
    <definedName name="S22R24">#REF!</definedName>
    <definedName name="S22R3">#REF!</definedName>
    <definedName name="S22R4">#REF!</definedName>
    <definedName name="S22R5">#REF!</definedName>
    <definedName name="S22R6">#REF!</definedName>
    <definedName name="S22R7">#REF!</definedName>
    <definedName name="S22R8">#REF!</definedName>
    <definedName name="S22R9">#REF!</definedName>
    <definedName name="S23P1">#REF!</definedName>
    <definedName name="S23P10">#REF!</definedName>
    <definedName name="S23P11">#REF!</definedName>
    <definedName name="S23P12">#REF!</definedName>
    <definedName name="S23P13">#REF!</definedName>
    <definedName name="S23P14">#REF!</definedName>
    <definedName name="S23P15">#REF!</definedName>
    <definedName name="S23P16">#REF!</definedName>
    <definedName name="S23P17">#REF!</definedName>
    <definedName name="S23P18">#REF!</definedName>
    <definedName name="S23P19">#REF!</definedName>
    <definedName name="S23P2">#REF!</definedName>
    <definedName name="S23P20">#REF!</definedName>
    <definedName name="S23P21">#REF!</definedName>
    <definedName name="S23P22">#REF!</definedName>
    <definedName name="S23P23">#REF!</definedName>
    <definedName name="S23P24">#REF!</definedName>
    <definedName name="S23P3">#REF!</definedName>
    <definedName name="S23P4">#REF!</definedName>
    <definedName name="S23P5">#REF!</definedName>
    <definedName name="S23P6">#REF!</definedName>
    <definedName name="S23P7">#REF!</definedName>
    <definedName name="S23P8">#REF!</definedName>
    <definedName name="S23P9">#REF!</definedName>
    <definedName name="S23R1">#REF!</definedName>
    <definedName name="S23R10">#REF!</definedName>
    <definedName name="S23R11">#REF!</definedName>
    <definedName name="S23R12">#REF!</definedName>
    <definedName name="S23R13">#REF!</definedName>
    <definedName name="S23R14">#REF!</definedName>
    <definedName name="S23R15">#REF!</definedName>
    <definedName name="S23R16">#REF!</definedName>
    <definedName name="S23R17">#REF!</definedName>
    <definedName name="S23R18">#REF!</definedName>
    <definedName name="S23R19">#REF!</definedName>
    <definedName name="S23R2">#REF!</definedName>
    <definedName name="S23R20">#REF!</definedName>
    <definedName name="S23R21">#REF!</definedName>
    <definedName name="S23R22">#REF!</definedName>
    <definedName name="S23R23">#REF!</definedName>
    <definedName name="S23R24">#REF!</definedName>
    <definedName name="S23R3">#REF!</definedName>
    <definedName name="S23R4">#REF!</definedName>
    <definedName name="S23R5">#REF!</definedName>
    <definedName name="S23R6">#REF!</definedName>
    <definedName name="S23R7">#REF!</definedName>
    <definedName name="S23R8">#REF!</definedName>
    <definedName name="S23R9">#REF!</definedName>
    <definedName name="S24P1">#REF!</definedName>
    <definedName name="S24P10">#REF!</definedName>
    <definedName name="S24P11">#REF!</definedName>
    <definedName name="S24P12">#REF!</definedName>
    <definedName name="S24P13">#REF!</definedName>
    <definedName name="S24P14">#REF!</definedName>
    <definedName name="S24P15">#REF!</definedName>
    <definedName name="S24P16">#REF!</definedName>
    <definedName name="S24P17">#REF!</definedName>
    <definedName name="S24P18">#REF!</definedName>
    <definedName name="S24P19">#REF!</definedName>
    <definedName name="S24P2">#REF!</definedName>
    <definedName name="S24P20">#REF!</definedName>
    <definedName name="S24P21">#REF!</definedName>
    <definedName name="S24P22">#REF!</definedName>
    <definedName name="S24P23">#REF!</definedName>
    <definedName name="S24P24">#REF!</definedName>
    <definedName name="S24P3">#REF!</definedName>
    <definedName name="S24P4">#REF!</definedName>
    <definedName name="S24P5">#REF!</definedName>
    <definedName name="S24P6">#REF!</definedName>
    <definedName name="S24P7">#REF!</definedName>
    <definedName name="S24P8">#REF!</definedName>
    <definedName name="S24P9">#REF!</definedName>
    <definedName name="S24R1">#REF!</definedName>
    <definedName name="S24R10">#REF!</definedName>
    <definedName name="S24R11">#REF!</definedName>
    <definedName name="S24R12">#REF!</definedName>
    <definedName name="S24R13">#REF!</definedName>
    <definedName name="S24R14">#REF!</definedName>
    <definedName name="S24R15">#REF!</definedName>
    <definedName name="S24R16">#REF!</definedName>
    <definedName name="S24R17">#REF!</definedName>
    <definedName name="S24R18">#REF!</definedName>
    <definedName name="S24R19">#REF!</definedName>
    <definedName name="S24R2">#REF!</definedName>
    <definedName name="S24R20">#REF!</definedName>
    <definedName name="S24R21">#REF!</definedName>
    <definedName name="S24R22">#REF!</definedName>
    <definedName name="S24R23">#REF!</definedName>
    <definedName name="S24R24">#REF!</definedName>
    <definedName name="S24R3">#REF!</definedName>
    <definedName name="S24R4">#REF!</definedName>
    <definedName name="S24R5">#REF!</definedName>
    <definedName name="S24R6">#REF!</definedName>
    <definedName name="S24R7">#REF!</definedName>
    <definedName name="S24R8">#REF!</definedName>
    <definedName name="S24R9">#REF!</definedName>
    <definedName name="S25P1">#REF!</definedName>
    <definedName name="S25P10">#REF!</definedName>
    <definedName name="S25P11">#REF!</definedName>
    <definedName name="S25P12">#REF!</definedName>
    <definedName name="S25P13">#REF!</definedName>
    <definedName name="S25P14">#REF!</definedName>
    <definedName name="S25P15">#REF!</definedName>
    <definedName name="S25P16">#REF!</definedName>
    <definedName name="S25P17">#REF!</definedName>
    <definedName name="S25P18">#REF!</definedName>
    <definedName name="S25P19">#REF!</definedName>
    <definedName name="S25P2">#REF!</definedName>
    <definedName name="S25P20">#REF!</definedName>
    <definedName name="S25P21">#REF!</definedName>
    <definedName name="S25P22">#REF!</definedName>
    <definedName name="S25P23">#REF!</definedName>
    <definedName name="S25P24">#REF!</definedName>
    <definedName name="S25P3">#REF!</definedName>
    <definedName name="S25P4">#REF!</definedName>
    <definedName name="S25P5">#REF!</definedName>
    <definedName name="S25P6">#REF!</definedName>
    <definedName name="S25P7">#REF!</definedName>
    <definedName name="S25P8">#REF!</definedName>
    <definedName name="S25P9">#REF!</definedName>
    <definedName name="S25R1">#REF!</definedName>
    <definedName name="S25R10">#REF!</definedName>
    <definedName name="S25R11">#REF!</definedName>
    <definedName name="S25R12">#REF!</definedName>
    <definedName name="S25R13">#REF!</definedName>
    <definedName name="S25R14">#REF!</definedName>
    <definedName name="S25R15">#REF!</definedName>
    <definedName name="S25R16">#REF!</definedName>
    <definedName name="S25R17">#REF!</definedName>
    <definedName name="S25R18">#REF!</definedName>
    <definedName name="S25R19">#REF!</definedName>
    <definedName name="S25R2">#REF!</definedName>
    <definedName name="S25R20">#REF!</definedName>
    <definedName name="S25R21">#REF!</definedName>
    <definedName name="S25R22">#REF!</definedName>
    <definedName name="S25R23">#REF!</definedName>
    <definedName name="S25R24">#REF!</definedName>
    <definedName name="S25R3">#REF!</definedName>
    <definedName name="S25R4">#REF!</definedName>
    <definedName name="S25R5">#REF!</definedName>
    <definedName name="S25R6">#REF!</definedName>
    <definedName name="S25R7">#REF!</definedName>
    <definedName name="S25R8">#REF!</definedName>
    <definedName name="S25R9">#REF!</definedName>
    <definedName name="S26P1">#REF!</definedName>
    <definedName name="S26P10">#REF!</definedName>
    <definedName name="S26P11">#REF!</definedName>
    <definedName name="S26P12">#REF!</definedName>
    <definedName name="S26P13">#REF!</definedName>
    <definedName name="S26P14">#REF!</definedName>
    <definedName name="S26P15">#REF!</definedName>
    <definedName name="S26P16">#REF!</definedName>
    <definedName name="S26P17">#REF!</definedName>
    <definedName name="S26P18">#REF!</definedName>
    <definedName name="S26P19">#REF!</definedName>
    <definedName name="S26P2">#REF!</definedName>
    <definedName name="S26P20">#REF!</definedName>
    <definedName name="S26P21">#REF!</definedName>
    <definedName name="S26P22">#REF!</definedName>
    <definedName name="S26P23">#REF!</definedName>
    <definedName name="S26P24">#REF!</definedName>
    <definedName name="S26P3">#REF!</definedName>
    <definedName name="S26P4">#REF!</definedName>
    <definedName name="S26P5">#REF!</definedName>
    <definedName name="S26P6">#REF!</definedName>
    <definedName name="S26P7">#REF!</definedName>
    <definedName name="S26P8">#REF!</definedName>
    <definedName name="S26P9">#REF!</definedName>
    <definedName name="S26R1">#REF!</definedName>
    <definedName name="S26R10">#REF!</definedName>
    <definedName name="S26R11">#REF!</definedName>
    <definedName name="S26R12">#REF!</definedName>
    <definedName name="S26R13">#REF!</definedName>
    <definedName name="S26R14">#REF!</definedName>
    <definedName name="S26R15">#REF!</definedName>
    <definedName name="S26R16">#REF!</definedName>
    <definedName name="S26R17">#REF!</definedName>
    <definedName name="S26R18">#REF!</definedName>
    <definedName name="S26R19">#REF!</definedName>
    <definedName name="S26R2">#REF!</definedName>
    <definedName name="S26R20">#REF!</definedName>
    <definedName name="S26R21">#REF!</definedName>
    <definedName name="S26R22">#REF!</definedName>
    <definedName name="S26R23">#REF!</definedName>
    <definedName name="S26R24">#REF!</definedName>
    <definedName name="S26R3">#REF!</definedName>
    <definedName name="S26R4">#REF!</definedName>
    <definedName name="S26R5">#REF!</definedName>
    <definedName name="S26R6">#REF!</definedName>
    <definedName name="S26R7">#REF!</definedName>
    <definedName name="S26R8">#REF!</definedName>
    <definedName name="S26R9">#REF!</definedName>
    <definedName name="S27P1">#REF!</definedName>
    <definedName name="S27P10">#REF!</definedName>
    <definedName name="S27P11">#REF!</definedName>
    <definedName name="S27P12">#REF!</definedName>
    <definedName name="S27P13">#REF!</definedName>
    <definedName name="S27P14">#REF!</definedName>
    <definedName name="S27P15">#REF!</definedName>
    <definedName name="S27P16">#REF!</definedName>
    <definedName name="S27P17">#REF!</definedName>
    <definedName name="S27P18">#REF!</definedName>
    <definedName name="S27P19">#REF!</definedName>
    <definedName name="S27P2">#REF!</definedName>
    <definedName name="S27P20">#REF!</definedName>
    <definedName name="S27P21">#REF!</definedName>
    <definedName name="S27P22">#REF!</definedName>
    <definedName name="S27P23">#REF!</definedName>
    <definedName name="S27P24">#REF!</definedName>
    <definedName name="S27P3">#REF!</definedName>
    <definedName name="S27P4">#REF!</definedName>
    <definedName name="S27P5">#REF!</definedName>
    <definedName name="S27P6">#REF!</definedName>
    <definedName name="S27P7">#REF!</definedName>
    <definedName name="S27P8">#REF!</definedName>
    <definedName name="S27P9">#REF!</definedName>
    <definedName name="S27R1">#REF!</definedName>
    <definedName name="S27R10">#REF!</definedName>
    <definedName name="S27R11">#REF!</definedName>
    <definedName name="S27R12">#REF!</definedName>
    <definedName name="S27R13">#REF!</definedName>
    <definedName name="S27R14">#REF!</definedName>
    <definedName name="S27R15">#REF!</definedName>
    <definedName name="S27R16">#REF!</definedName>
    <definedName name="S27R17">#REF!</definedName>
    <definedName name="S27R18">#REF!</definedName>
    <definedName name="S27R19">#REF!</definedName>
    <definedName name="S27R2">#REF!</definedName>
    <definedName name="S27R20">#REF!</definedName>
    <definedName name="S27R21">#REF!</definedName>
    <definedName name="S27R22">#REF!</definedName>
    <definedName name="S27R23">#REF!</definedName>
    <definedName name="S27R24">#REF!</definedName>
    <definedName name="S27R3">#REF!</definedName>
    <definedName name="S27R4">#REF!</definedName>
    <definedName name="S27R5">#REF!</definedName>
    <definedName name="S27R6">#REF!</definedName>
    <definedName name="S27R7">#REF!</definedName>
    <definedName name="S27R8">#REF!</definedName>
    <definedName name="S27R9">#REF!</definedName>
    <definedName name="S28P1">#REF!</definedName>
    <definedName name="S28P10">#REF!</definedName>
    <definedName name="S28P11">#REF!</definedName>
    <definedName name="S28P12">#REF!</definedName>
    <definedName name="S28P13">#REF!</definedName>
    <definedName name="S28P14">#REF!</definedName>
    <definedName name="S28P15">#REF!</definedName>
    <definedName name="S28P16">#REF!</definedName>
    <definedName name="S28P17">#REF!</definedName>
    <definedName name="S28P18">#REF!</definedName>
    <definedName name="S28P19">#REF!</definedName>
    <definedName name="S28P2">#REF!</definedName>
    <definedName name="S28P20">#REF!</definedName>
    <definedName name="S28P21">#REF!</definedName>
    <definedName name="S28P22">#REF!</definedName>
    <definedName name="S28P23">#REF!</definedName>
    <definedName name="S28P24">#REF!</definedName>
    <definedName name="S28P3">#REF!</definedName>
    <definedName name="S28P4">#REF!</definedName>
    <definedName name="S28P5">#REF!</definedName>
    <definedName name="S28P6">#REF!</definedName>
    <definedName name="S28P7">#REF!</definedName>
    <definedName name="S28P8">#REF!</definedName>
    <definedName name="S28P9">#REF!</definedName>
    <definedName name="S28R1">#REF!</definedName>
    <definedName name="S28R10">#REF!</definedName>
    <definedName name="S28R11">#REF!</definedName>
    <definedName name="S28R12">#REF!</definedName>
    <definedName name="S28R13">#REF!</definedName>
    <definedName name="S28R14">#REF!</definedName>
    <definedName name="S28R15">#REF!</definedName>
    <definedName name="S28R16">#REF!</definedName>
    <definedName name="S28R17">#REF!</definedName>
    <definedName name="S28R18">#REF!</definedName>
    <definedName name="S28R19">#REF!</definedName>
    <definedName name="S28R2">#REF!</definedName>
    <definedName name="S28R20">#REF!</definedName>
    <definedName name="S28R21">#REF!</definedName>
    <definedName name="S28R22">#REF!</definedName>
    <definedName name="S28R23">#REF!</definedName>
    <definedName name="S28R24">#REF!</definedName>
    <definedName name="S28R3">#REF!</definedName>
    <definedName name="S28R4">#REF!</definedName>
    <definedName name="S28R5">#REF!</definedName>
    <definedName name="S28R6">#REF!</definedName>
    <definedName name="S28R7">#REF!</definedName>
    <definedName name="S28R8">#REF!</definedName>
    <definedName name="S28R9">#REF!</definedName>
    <definedName name="S29P1">#REF!</definedName>
    <definedName name="S29P10">#REF!</definedName>
    <definedName name="S29P11">#REF!</definedName>
    <definedName name="S29P12">#REF!</definedName>
    <definedName name="S29P13">#REF!</definedName>
    <definedName name="S29P14">#REF!</definedName>
    <definedName name="S29P15">#REF!</definedName>
    <definedName name="S29P16">#REF!</definedName>
    <definedName name="S29P17">#REF!</definedName>
    <definedName name="S29P18">#REF!</definedName>
    <definedName name="S29P19">#REF!</definedName>
    <definedName name="S29P2">#REF!</definedName>
    <definedName name="S29P20">#REF!</definedName>
    <definedName name="S29P21">#REF!</definedName>
    <definedName name="S29P22">#REF!</definedName>
    <definedName name="S29P23">#REF!</definedName>
    <definedName name="S29P24">#REF!</definedName>
    <definedName name="S29P3">#REF!</definedName>
    <definedName name="S29P4">#REF!</definedName>
    <definedName name="S29P5">#REF!</definedName>
    <definedName name="S29P6">#REF!</definedName>
    <definedName name="S29P7">#REF!</definedName>
    <definedName name="S29P8">#REF!</definedName>
    <definedName name="S29P9">#REF!</definedName>
    <definedName name="S29R1">#REF!</definedName>
    <definedName name="S29R10">#REF!</definedName>
    <definedName name="S29R11">#REF!</definedName>
    <definedName name="S29R12">#REF!</definedName>
    <definedName name="S29R13">#REF!</definedName>
    <definedName name="S29R14">#REF!</definedName>
    <definedName name="S29R15">#REF!</definedName>
    <definedName name="S29R16">#REF!</definedName>
    <definedName name="S29R17">#REF!</definedName>
    <definedName name="S29R18">#REF!</definedName>
    <definedName name="S29R19">#REF!</definedName>
    <definedName name="S29R2">#REF!</definedName>
    <definedName name="S29R20">#REF!</definedName>
    <definedName name="S29R21">#REF!</definedName>
    <definedName name="S29R22">#REF!</definedName>
    <definedName name="S29R23">#REF!</definedName>
    <definedName name="S29R24">#REF!</definedName>
    <definedName name="S29R3">#REF!</definedName>
    <definedName name="S29R4">#REF!</definedName>
    <definedName name="S29R5">#REF!</definedName>
    <definedName name="S29R6">#REF!</definedName>
    <definedName name="S29R7">#REF!</definedName>
    <definedName name="S29R8">#REF!</definedName>
    <definedName name="S29R9">#REF!</definedName>
    <definedName name="S2P1">#REF!</definedName>
    <definedName name="S2P10">#REF!</definedName>
    <definedName name="S2P11">#REF!</definedName>
    <definedName name="S2P12">#REF!</definedName>
    <definedName name="S2P13">#REF!</definedName>
    <definedName name="S2P14">#REF!</definedName>
    <definedName name="S2P15">#REF!</definedName>
    <definedName name="S2P16">#REF!</definedName>
    <definedName name="S2P17">#REF!</definedName>
    <definedName name="S2P18">#REF!</definedName>
    <definedName name="S2P19">#REF!</definedName>
    <definedName name="S2P2">#REF!</definedName>
    <definedName name="S2P20">#REF!</definedName>
    <definedName name="S2P21">#REF!</definedName>
    <definedName name="S2P22">#REF!</definedName>
    <definedName name="S2P23">#REF!</definedName>
    <definedName name="S2P24">#REF!</definedName>
    <definedName name="S2P3">#REF!</definedName>
    <definedName name="S2P4">#REF!</definedName>
    <definedName name="S2P5">#REF!</definedName>
    <definedName name="S2P6">#REF!</definedName>
    <definedName name="S2P7">#REF!</definedName>
    <definedName name="S2P8">#REF!</definedName>
    <definedName name="S2P9">#REF!</definedName>
    <definedName name="S2PP4">#REF!</definedName>
    <definedName name="S2R1">#REF!</definedName>
    <definedName name="S2R10">#REF!</definedName>
    <definedName name="S2R11">#REF!</definedName>
    <definedName name="S2R12">#REF!</definedName>
    <definedName name="S2R13">#REF!</definedName>
    <definedName name="S2R14">#REF!</definedName>
    <definedName name="S2R15">#REF!</definedName>
    <definedName name="S2R16">#REF!</definedName>
    <definedName name="S2R17">#REF!</definedName>
    <definedName name="S2R18">#REF!</definedName>
    <definedName name="S2R19">#REF!</definedName>
    <definedName name="S2R2">#REF!</definedName>
    <definedName name="S2R20">#REF!</definedName>
    <definedName name="S2R21">#REF!</definedName>
    <definedName name="S2R22">#REF!</definedName>
    <definedName name="S2R23">#REF!</definedName>
    <definedName name="S2R24">#REF!</definedName>
    <definedName name="S2R3">#REF!</definedName>
    <definedName name="S2R4">#REF!</definedName>
    <definedName name="S2R5">#REF!</definedName>
    <definedName name="S2R6">#REF!</definedName>
    <definedName name="S2R7">#REF!</definedName>
    <definedName name="S2R8">#REF!</definedName>
    <definedName name="S2R9">#REF!</definedName>
    <definedName name="S30P1">#REF!</definedName>
    <definedName name="S30P10">#REF!</definedName>
    <definedName name="S30P11">#REF!</definedName>
    <definedName name="S30P12">#REF!</definedName>
    <definedName name="S30P13">#REF!</definedName>
    <definedName name="S30P14">#REF!</definedName>
    <definedName name="S30P15">#REF!</definedName>
    <definedName name="S30P16">#REF!</definedName>
    <definedName name="S30P17">#REF!</definedName>
    <definedName name="S30P18">#REF!</definedName>
    <definedName name="S30P19">#REF!</definedName>
    <definedName name="S30P2">#REF!</definedName>
    <definedName name="S30P20">#REF!</definedName>
    <definedName name="S30P21">#REF!</definedName>
    <definedName name="S30P22">#REF!</definedName>
    <definedName name="S30P23">#REF!</definedName>
    <definedName name="S30P24">#REF!</definedName>
    <definedName name="S30P3">#REF!</definedName>
    <definedName name="S30P4">#REF!</definedName>
    <definedName name="S30P5">#REF!</definedName>
    <definedName name="S30P6">#REF!</definedName>
    <definedName name="S30P7">#REF!</definedName>
    <definedName name="S30P8">#REF!</definedName>
    <definedName name="S30P9">#REF!</definedName>
    <definedName name="S30R1">#REF!</definedName>
    <definedName name="S30R10">#REF!</definedName>
    <definedName name="S30R11">#REF!</definedName>
    <definedName name="S30R12">#REF!</definedName>
    <definedName name="S30R13">#REF!</definedName>
    <definedName name="S30R14">#REF!</definedName>
    <definedName name="S30R15">#REF!</definedName>
    <definedName name="S30R16">#REF!</definedName>
    <definedName name="S30R17">#REF!</definedName>
    <definedName name="S30R18">#REF!</definedName>
    <definedName name="S30R19">#REF!</definedName>
    <definedName name="S30R2">#REF!</definedName>
    <definedName name="S30R20">#REF!</definedName>
    <definedName name="S30R21">#REF!</definedName>
    <definedName name="S30R22">#REF!</definedName>
    <definedName name="S30R23">#REF!</definedName>
    <definedName name="S30R24">#REF!</definedName>
    <definedName name="S30R3">#REF!</definedName>
    <definedName name="S30R4">#REF!</definedName>
    <definedName name="S30R5">#REF!</definedName>
    <definedName name="S30R6">#REF!</definedName>
    <definedName name="S30R7">#REF!</definedName>
    <definedName name="S30R8">#REF!</definedName>
    <definedName name="S30R9">#REF!</definedName>
    <definedName name="S31P1">#REF!</definedName>
    <definedName name="S31P10">#REF!</definedName>
    <definedName name="S31P11">#REF!</definedName>
    <definedName name="S31P12">#REF!</definedName>
    <definedName name="S31P13">#REF!</definedName>
    <definedName name="S31P14">#REF!</definedName>
    <definedName name="S31P15">#REF!</definedName>
    <definedName name="S31P16">#REF!</definedName>
    <definedName name="S31P17">#REF!</definedName>
    <definedName name="S31P18">#REF!</definedName>
    <definedName name="S31P19">#REF!</definedName>
    <definedName name="S31P2">#REF!</definedName>
    <definedName name="S31P20">#REF!</definedName>
    <definedName name="S31P21">#REF!</definedName>
    <definedName name="S31P22">#REF!</definedName>
    <definedName name="S31P23">#REF!</definedName>
    <definedName name="S31P24">#REF!</definedName>
    <definedName name="S31P3">#REF!</definedName>
    <definedName name="S31P4">#REF!</definedName>
    <definedName name="S31P5">#REF!</definedName>
    <definedName name="S31P6">#REF!</definedName>
    <definedName name="S31P7">#REF!</definedName>
    <definedName name="S31P8">#REF!</definedName>
    <definedName name="S31P9">#REF!</definedName>
    <definedName name="S31R1">#REF!</definedName>
    <definedName name="S31R10">#REF!</definedName>
    <definedName name="S31R11">#REF!</definedName>
    <definedName name="S31R12">#REF!</definedName>
    <definedName name="S31R13">#REF!</definedName>
    <definedName name="S31R14">#REF!</definedName>
    <definedName name="S31R15">#REF!</definedName>
    <definedName name="S31R16">#REF!</definedName>
    <definedName name="S31R17">#REF!</definedName>
    <definedName name="S31R18">#REF!</definedName>
    <definedName name="S31R19">#REF!</definedName>
    <definedName name="S31R2">#REF!</definedName>
    <definedName name="S31R20">#REF!</definedName>
    <definedName name="S31R21">#REF!</definedName>
    <definedName name="S31R22">#REF!</definedName>
    <definedName name="S31R23">#REF!</definedName>
    <definedName name="S31R24">#REF!</definedName>
    <definedName name="S31R3">#REF!</definedName>
    <definedName name="S31R4">#REF!</definedName>
    <definedName name="S31R5">#REF!</definedName>
    <definedName name="S31R6">#REF!</definedName>
    <definedName name="S31R7">#REF!</definedName>
    <definedName name="S31R8">#REF!</definedName>
    <definedName name="S31R9">#REF!</definedName>
    <definedName name="S32P1">#REF!</definedName>
    <definedName name="S32P10">#REF!</definedName>
    <definedName name="S32P11">#REF!</definedName>
    <definedName name="S32P12">#REF!</definedName>
    <definedName name="S32P13">#REF!</definedName>
    <definedName name="S32P14">#REF!</definedName>
    <definedName name="S32P15">#REF!</definedName>
    <definedName name="S32P16">#REF!</definedName>
    <definedName name="S32P17">#REF!</definedName>
    <definedName name="S32P18">#REF!</definedName>
    <definedName name="S32P19">#REF!</definedName>
    <definedName name="S32P2">#REF!</definedName>
    <definedName name="S32P20">#REF!</definedName>
    <definedName name="S32P21">#REF!</definedName>
    <definedName name="S32P22">#REF!</definedName>
    <definedName name="S32P23">#REF!</definedName>
    <definedName name="S32P24">#REF!</definedName>
    <definedName name="S32P3">#REF!</definedName>
    <definedName name="S32P4">#REF!</definedName>
    <definedName name="S32P5">#REF!</definedName>
    <definedName name="S32P6">#REF!</definedName>
    <definedName name="S32P7">#REF!</definedName>
    <definedName name="S32P8">#REF!</definedName>
    <definedName name="S32P9">#REF!</definedName>
    <definedName name="S32R1">#REF!</definedName>
    <definedName name="S32R10">#REF!</definedName>
    <definedName name="S32R11">#REF!</definedName>
    <definedName name="S32R12">#REF!</definedName>
    <definedName name="S32R13">#REF!</definedName>
    <definedName name="S32R14">#REF!</definedName>
    <definedName name="S32R15">#REF!</definedName>
    <definedName name="S32R16">#REF!</definedName>
    <definedName name="S32R17">#REF!</definedName>
    <definedName name="S32R18">#REF!</definedName>
    <definedName name="S32R19">#REF!</definedName>
    <definedName name="S32R2">#REF!</definedName>
    <definedName name="S32R20">#REF!</definedName>
    <definedName name="S32R21">#REF!</definedName>
    <definedName name="S32R22">#REF!</definedName>
    <definedName name="S32R23">#REF!</definedName>
    <definedName name="S32R24">#REF!</definedName>
    <definedName name="S32R3">#REF!</definedName>
    <definedName name="S32R4">#REF!</definedName>
    <definedName name="S32R5">#REF!</definedName>
    <definedName name="S32R6">#REF!</definedName>
    <definedName name="S32R7">#REF!</definedName>
    <definedName name="S32R8">#REF!</definedName>
    <definedName name="S32R9">#REF!</definedName>
    <definedName name="S33P1">#REF!</definedName>
    <definedName name="S33P10">#REF!</definedName>
    <definedName name="S33P11">#REF!</definedName>
    <definedName name="S33P12">#REF!</definedName>
    <definedName name="S33P13">#REF!</definedName>
    <definedName name="S33P14">#REF!</definedName>
    <definedName name="S33P15">#REF!</definedName>
    <definedName name="S33P16">#REF!</definedName>
    <definedName name="S33P17">#REF!</definedName>
    <definedName name="S33P18">#REF!</definedName>
    <definedName name="S33P19">#REF!</definedName>
    <definedName name="S33P2">#REF!</definedName>
    <definedName name="S33P20">#REF!</definedName>
    <definedName name="S33P21">#REF!</definedName>
    <definedName name="S33P22">#REF!</definedName>
    <definedName name="S33P23">#REF!</definedName>
    <definedName name="S33P24">#REF!</definedName>
    <definedName name="S33P3">#REF!</definedName>
    <definedName name="S33P4">#REF!</definedName>
    <definedName name="S33P5">#REF!</definedName>
    <definedName name="S33P6">#REF!</definedName>
    <definedName name="S33P7">#REF!</definedName>
    <definedName name="S33P8">#REF!</definedName>
    <definedName name="S33P9">#REF!</definedName>
    <definedName name="S33R1">#REF!</definedName>
    <definedName name="S33R10">#REF!</definedName>
    <definedName name="S33R11">#REF!</definedName>
    <definedName name="S33R12">#REF!</definedName>
    <definedName name="S33R13">#REF!</definedName>
    <definedName name="S33R14">#REF!</definedName>
    <definedName name="S33R15">#REF!</definedName>
    <definedName name="S33R16">#REF!</definedName>
    <definedName name="S33R17">#REF!</definedName>
    <definedName name="S33R18">#REF!</definedName>
    <definedName name="S33R19">#REF!</definedName>
    <definedName name="S33R2">#REF!</definedName>
    <definedName name="S33R20">#REF!</definedName>
    <definedName name="S33R21">#REF!</definedName>
    <definedName name="S33R22">#REF!</definedName>
    <definedName name="S33R23">#REF!</definedName>
    <definedName name="S33R24">#REF!</definedName>
    <definedName name="S33R3">#REF!</definedName>
    <definedName name="S33R4">#REF!</definedName>
    <definedName name="S33R5">#REF!</definedName>
    <definedName name="S33R6">#REF!</definedName>
    <definedName name="S33R7">#REF!</definedName>
    <definedName name="S33R8">#REF!</definedName>
    <definedName name="S33R9">#REF!</definedName>
    <definedName name="S34P1">#REF!</definedName>
    <definedName name="S34P10">#REF!</definedName>
    <definedName name="S34P11">#REF!</definedName>
    <definedName name="S34P12">#REF!</definedName>
    <definedName name="S34P13">#REF!</definedName>
    <definedName name="S34P14">#REF!</definedName>
    <definedName name="S34P15">#REF!</definedName>
    <definedName name="S34P16">#REF!</definedName>
    <definedName name="S34P17">#REF!</definedName>
    <definedName name="S34P18">#REF!</definedName>
    <definedName name="S34P19">#REF!</definedName>
    <definedName name="S34P2">#REF!</definedName>
    <definedName name="S34P20">#REF!</definedName>
    <definedName name="S34P21">#REF!</definedName>
    <definedName name="S34P22">#REF!</definedName>
    <definedName name="S34P23">#REF!</definedName>
    <definedName name="S34P24">#REF!</definedName>
    <definedName name="S34P3">#REF!</definedName>
    <definedName name="S34P4">#REF!</definedName>
    <definedName name="S34P5">#REF!</definedName>
    <definedName name="S34P6">#REF!</definedName>
    <definedName name="S34P7">#REF!</definedName>
    <definedName name="S34P8">#REF!</definedName>
    <definedName name="S34P9">#REF!</definedName>
    <definedName name="S34R1">#REF!</definedName>
    <definedName name="S34R10">#REF!</definedName>
    <definedName name="S34R11">#REF!</definedName>
    <definedName name="S34R12">#REF!</definedName>
    <definedName name="S34R13">#REF!</definedName>
    <definedName name="S34R14">#REF!</definedName>
    <definedName name="S34R15">#REF!</definedName>
    <definedName name="S34R16">#REF!</definedName>
    <definedName name="S34R17">#REF!</definedName>
    <definedName name="S34R18">#REF!</definedName>
    <definedName name="S34R19">#REF!</definedName>
    <definedName name="S34R2">#REF!</definedName>
    <definedName name="S34R20">#REF!</definedName>
    <definedName name="S34R21">#REF!</definedName>
    <definedName name="S34R22">#REF!</definedName>
    <definedName name="S34R23">#REF!</definedName>
    <definedName name="S34R24">#REF!</definedName>
    <definedName name="S34R3">#REF!</definedName>
    <definedName name="S34R4">#REF!</definedName>
    <definedName name="S34R5">#REF!</definedName>
    <definedName name="S34R6">#REF!</definedName>
    <definedName name="S34R7">#REF!</definedName>
    <definedName name="S34R8">#REF!</definedName>
    <definedName name="S34R9">#REF!</definedName>
    <definedName name="S35P1">#REF!</definedName>
    <definedName name="S35P10">#REF!</definedName>
    <definedName name="S35P11">#REF!</definedName>
    <definedName name="S35P12">#REF!</definedName>
    <definedName name="S35P13">#REF!</definedName>
    <definedName name="S35P14">#REF!</definedName>
    <definedName name="S35P15">#REF!</definedName>
    <definedName name="S35P16">#REF!</definedName>
    <definedName name="S35P17">#REF!</definedName>
    <definedName name="S35P18">#REF!</definedName>
    <definedName name="S35P19">#REF!</definedName>
    <definedName name="S35P2">#REF!</definedName>
    <definedName name="S35P20">#REF!</definedName>
    <definedName name="S35P21">#REF!</definedName>
    <definedName name="S35P22">#REF!</definedName>
    <definedName name="S35P23">#REF!</definedName>
    <definedName name="S35P24">#REF!</definedName>
    <definedName name="S35P3">#REF!</definedName>
    <definedName name="S35P4">#REF!</definedName>
    <definedName name="S35P5">#REF!</definedName>
    <definedName name="S35P6">#REF!</definedName>
    <definedName name="S35P7">#REF!</definedName>
    <definedName name="S35P8">#REF!</definedName>
    <definedName name="S35P9">#REF!</definedName>
    <definedName name="S35R1">#REF!</definedName>
    <definedName name="S35R10">#REF!</definedName>
    <definedName name="S35R11">#REF!</definedName>
    <definedName name="S35R12">#REF!</definedName>
    <definedName name="S35R13">#REF!</definedName>
    <definedName name="S35R14">#REF!</definedName>
    <definedName name="S35R15">#REF!</definedName>
    <definedName name="S35R16">#REF!</definedName>
    <definedName name="S35R17">#REF!</definedName>
    <definedName name="S35R18">#REF!</definedName>
    <definedName name="S35R19">#REF!</definedName>
    <definedName name="S35R2">#REF!</definedName>
    <definedName name="S35R20">#REF!</definedName>
    <definedName name="S35R21">#REF!</definedName>
    <definedName name="S35R22">#REF!</definedName>
    <definedName name="S35R23">#REF!</definedName>
    <definedName name="S35R24">#REF!</definedName>
    <definedName name="S35R3">#REF!</definedName>
    <definedName name="S35R4">#REF!</definedName>
    <definedName name="S35R5">#REF!</definedName>
    <definedName name="S35R6">#REF!</definedName>
    <definedName name="S35R7">#REF!</definedName>
    <definedName name="S35R8">#REF!</definedName>
    <definedName name="S35R9">#REF!</definedName>
    <definedName name="S36P1">#REF!</definedName>
    <definedName name="S36P10">#REF!</definedName>
    <definedName name="S36P11">#REF!</definedName>
    <definedName name="S36P12">#REF!</definedName>
    <definedName name="S36P13">#REF!</definedName>
    <definedName name="S36P14">#REF!</definedName>
    <definedName name="S36P15">#REF!</definedName>
    <definedName name="S36P16">#REF!</definedName>
    <definedName name="S36P17">#REF!</definedName>
    <definedName name="S36P18">#REF!</definedName>
    <definedName name="S36P19">#REF!</definedName>
    <definedName name="S36P2">#REF!</definedName>
    <definedName name="S36P20">#REF!</definedName>
    <definedName name="S36P21">#REF!</definedName>
    <definedName name="S36P22">#REF!</definedName>
    <definedName name="S36P23">#REF!</definedName>
    <definedName name="S36P24">#REF!</definedName>
    <definedName name="S36P3">#REF!</definedName>
    <definedName name="S36P4">#REF!</definedName>
    <definedName name="S36P5">#REF!</definedName>
    <definedName name="S36P6">#REF!</definedName>
    <definedName name="S36P7">#REF!</definedName>
    <definedName name="S36P8">#REF!</definedName>
    <definedName name="S36P9">#REF!</definedName>
    <definedName name="S36R1">#REF!</definedName>
    <definedName name="S36R10">#REF!</definedName>
    <definedName name="S36R11">#REF!</definedName>
    <definedName name="S36R12">#REF!</definedName>
    <definedName name="S36R13">#REF!</definedName>
    <definedName name="S36R14">#REF!</definedName>
    <definedName name="S36R15">#REF!</definedName>
    <definedName name="S36R16">#REF!</definedName>
    <definedName name="S36R17">#REF!</definedName>
    <definedName name="S36R18">#REF!</definedName>
    <definedName name="S36R19">#REF!</definedName>
    <definedName name="S36R2">#REF!</definedName>
    <definedName name="S36R20">#REF!</definedName>
    <definedName name="S36R21">#REF!</definedName>
    <definedName name="S36R22">#REF!</definedName>
    <definedName name="S36R23">#REF!</definedName>
    <definedName name="S36R24">#REF!</definedName>
    <definedName name="S36R3">#REF!</definedName>
    <definedName name="S36R4">#REF!</definedName>
    <definedName name="S36R5">#REF!</definedName>
    <definedName name="S36R6">#REF!</definedName>
    <definedName name="S36R7">#REF!</definedName>
    <definedName name="S36R8">#REF!</definedName>
    <definedName name="S36R9">#REF!</definedName>
    <definedName name="S37P1">#REF!</definedName>
    <definedName name="S37P10">#REF!</definedName>
    <definedName name="S37P11">#REF!</definedName>
    <definedName name="S37P12">#REF!</definedName>
    <definedName name="S37P13">#REF!</definedName>
    <definedName name="S37P14">#REF!</definedName>
    <definedName name="S37P15">#REF!</definedName>
    <definedName name="S37P16">#REF!</definedName>
    <definedName name="S37P17">#REF!</definedName>
    <definedName name="S37P18">#REF!</definedName>
    <definedName name="S37P19">#REF!</definedName>
    <definedName name="S37P2">#REF!</definedName>
    <definedName name="S37P20">#REF!</definedName>
    <definedName name="S37P21">#REF!</definedName>
    <definedName name="S37P22">#REF!</definedName>
    <definedName name="S37P23">#REF!</definedName>
    <definedName name="S37P24">#REF!</definedName>
    <definedName name="S37P3">#REF!</definedName>
    <definedName name="S37P4">#REF!</definedName>
    <definedName name="S37P5">#REF!</definedName>
    <definedName name="S37P6">#REF!</definedName>
    <definedName name="S37P7">#REF!</definedName>
    <definedName name="S37P8">#REF!</definedName>
    <definedName name="S37P9">#REF!</definedName>
    <definedName name="S37R1">#REF!</definedName>
    <definedName name="S37R10">#REF!</definedName>
    <definedName name="S37R11">#REF!</definedName>
    <definedName name="S37R12">#REF!</definedName>
    <definedName name="S37R13">#REF!</definedName>
    <definedName name="S37R14">#REF!</definedName>
    <definedName name="S37R15">#REF!</definedName>
    <definedName name="S37R16">#REF!</definedName>
    <definedName name="S37R17">#REF!</definedName>
    <definedName name="S37R18">#REF!</definedName>
    <definedName name="S37R19">#REF!</definedName>
    <definedName name="S37R2">#REF!</definedName>
    <definedName name="S37R20">#REF!</definedName>
    <definedName name="S37R21">#REF!</definedName>
    <definedName name="S37R22">#REF!</definedName>
    <definedName name="S37R23">#REF!</definedName>
    <definedName name="S37R24">#REF!</definedName>
    <definedName name="S37R3">#REF!</definedName>
    <definedName name="S37R4">#REF!</definedName>
    <definedName name="S37R5">#REF!</definedName>
    <definedName name="S37R6">#REF!</definedName>
    <definedName name="S37R7">#REF!</definedName>
    <definedName name="S37R8">#REF!</definedName>
    <definedName name="S37R9">#REF!</definedName>
    <definedName name="S38P1">#REF!</definedName>
    <definedName name="S38P10">#REF!</definedName>
    <definedName name="S38P11">#REF!</definedName>
    <definedName name="S38P12">#REF!</definedName>
    <definedName name="S38P13">#REF!</definedName>
    <definedName name="S38P14">#REF!</definedName>
    <definedName name="S38P15">#REF!</definedName>
    <definedName name="S38P16">#REF!</definedName>
    <definedName name="S38P17">#REF!</definedName>
    <definedName name="S38P18">#REF!</definedName>
    <definedName name="S38P19">#REF!</definedName>
    <definedName name="S38P2">#REF!</definedName>
    <definedName name="S38P20">#REF!</definedName>
    <definedName name="S38P21">#REF!</definedName>
    <definedName name="S38P22">#REF!</definedName>
    <definedName name="S38P23">#REF!</definedName>
    <definedName name="S38P24">#REF!</definedName>
    <definedName name="S38P3">#REF!</definedName>
    <definedName name="S38P4">#REF!</definedName>
    <definedName name="S38P5">#REF!</definedName>
    <definedName name="S38P6">#REF!</definedName>
    <definedName name="S38P7">#REF!</definedName>
    <definedName name="S38P8">#REF!</definedName>
    <definedName name="S38P9">#REF!</definedName>
    <definedName name="S38R1">#REF!</definedName>
    <definedName name="S38R10">#REF!</definedName>
    <definedName name="S38R11">#REF!</definedName>
    <definedName name="S38R12">#REF!</definedName>
    <definedName name="S38R13">#REF!</definedName>
    <definedName name="S38R14">#REF!</definedName>
    <definedName name="S38R15">#REF!</definedName>
    <definedName name="S38R16">#REF!</definedName>
    <definedName name="S38R17">#REF!</definedName>
    <definedName name="S38R18">#REF!</definedName>
    <definedName name="S38R19">#REF!</definedName>
    <definedName name="S38R2">#REF!</definedName>
    <definedName name="S38R20">#REF!</definedName>
    <definedName name="S38R21">#REF!</definedName>
    <definedName name="S38R22">#REF!</definedName>
    <definedName name="S38R23">#REF!</definedName>
    <definedName name="S38R24">#REF!</definedName>
    <definedName name="S38R3">#REF!</definedName>
    <definedName name="S38R4">#REF!</definedName>
    <definedName name="S38R5">#REF!</definedName>
    <definedName name="S38R6">#REF!</definedName>
    <definedName name="S38R7">#REF!</definedName>
    <definedName name="S38R8">#REF!</definedName>
    <definedName name="S38R9">#REF!</definedName>
    <definedName name="S39P1">#REF!</definedName>
    <definedName name="S39P10">#REF!</definedName>
    <definedName name="S39P11">#REF!</definedName>
    <definedName name="S39P12">#REF!</definedName>
    <definedName name="S39P13">#REF!</definedName>
    <definedName name="S39P14">#REF!</definedName>
    <definedName name="S39P15">#REF!</definedName>
    <definedName name="S39P16">#REF!</definedName>
    <definedName name="S39P17">#REF!</definedName>
    <definedName name="S39P18">#REF!</definedName>
    <definedName name="S39P19">#REF!</definedName>
    <definedName name="S39P2">#REF!</definedName>
    <definedName name="S39P20">#REF!</definedName>
    <definedName name="S39P21">#REF!</definedName>
    <definedName name="S39P22">#REF!</definedName>
    <definedName name="S39P23">#REF!</definedName>
    <definedName name="S39P24">#REF!</definedName>
    <definedName name="S39P3">#REF!</definedName>
    <definedName name="S39P4">#REF!</definedName>
    <definedName name="S39P5">#REF!</definedName>
    <definedName name="S39P6">#REF!</definedName>
    <definedName name="S39P7">#REF!</definedName>
    <definedName name="S39P8">#REF!</definedName>
    <definedName name="S39P9">#REF!</definedName>
    <definedName name="S39R1">#REF!</definedName>
    <definedName name="S39R10">#REF!</definedName>
    <definedName name="S39R11">#REF!</definedName>
    <definedName name="S39R12">#REF!</definedName>
    <definedName name="S39R13">#REF!</definedName>
    <definedName name="S39R14">#REF!</definedName>
    <definedName name="S39R15">#REF!</definedName>
    <definedName name="S39R16">#REF!</definedName>
    <definedName name="S39R17">#REF!</definedName>
    <definedName name="S39R18">#REF!</definedName>
    <definedName name="S39R19">#REF!</definedName>
    <definedName name="S39R2">#REF!</definedName>
    <definedName name="S39R20">#REF!</definedName>
    <definedName name="S39R21">#REF!</definedName>
    <definedName name="S39R22">#REF!</definedName>
    <definedName name="S39R23">#REF!</definedName>
    <definedName name="S39R24">#REF!</definedName>
    <definedName name="S39R3">#REF!</definedName>
    <definedName name="S39R4">#REF!</definedName>
    <definedName name="S39R5">#REF!</definedName>
    <definedName name="S39R6">#REF!</definedName>
    <definedName name="S39R7">#REF!</definedName>
    <definedName name="S39R8">#REF!</definedName>
    <definedName name="S39R9">#REF!</definedName>
    <definedName name="S3P1">#REF!</definedName>
    <definedName name="S3P10">#REF!</definedName>
    <definedName name="S3P11">#REF!</definedName>
    <definedName name="S3P12">#REF!</definedName>
    <definedName name="S3P13">#REF!</definedName>
    <definedName name="S3P14">#REF!</definedName>
    <definedName name="S3P15">#REF!</definedName>
    <definedName name="S3P16">#REF!</definedName>
    <definedName name="S3P17">#REF!</definedName>
    <definedName name="S3P18">#REF!</definedName>
    <definedName name="S3P19">#REF!</definedName>
    <definedName name="S3P2">#REF!</definedName>
    <definedName name="S3P20">#REF!</definedName>
    <definedName name="S3P21">#REF!</definedName>
    <definedName name="S3P22">#REF!</definedName>
    <definedName name="S3P23">#REF!</definedName>
    <definedName name="S3P24">#REF!</definedName>
    <definedName name="S3P3">#REF!</definedName>
    <definedName name="S3P4">#REF!</definedName>
    <definedName name="S3P5">#REF!</definedName>
    <definedName name="S3P6">#REF!</definedName>
    <definedName name="S3P7">#REF!</definedName>
    <definedName name="S3P8">#REF!</definedName>
    <definedName name="S3P9">#REF!</definedName>
    <definedName name="S3R1">#REF!</definedName>
    <definedName name="S3R10">#REF!</definedName>
    <definedName name="S3R11">#REF!</definedName>
    <definedName name="S3R12">#REF!</definedName>
    <definedName name="S3R13">#REF!</definedName>
    <definedName name="S3R14">#REF!</definedName>
    <definedName name="S3R15">#REF!</definedName>
    <definedName name="S3R16">#REF!</definedName>
    <definedName name="S3R17">#REF!</definedName>
    <definedName name="S3R18">#REF!</definedName>
    <definedName name="S3R19">#REF!</definedName>
    <definedName name="S3R2">#REF!</definedName>
    <definedName name="S3R20">#REF!</definedName>
    <definedName name="S3R21">#REF!</definedName>
    <definedName name="S3R22">#REF!</definedName>
    <definedName name="S3R23">#REF!</definedName>
    <definedName name="S3R24">#REF!</definedName>
    <definedName name="S3R3">#REF!</definedName>
    <definedName name="S3R4">#REF!</definedName>
    <definedName name="S3R5">#REF!</definedName>
    <definedName name="S3R6">#REF!</definedName>
    <definedName name="S3R7">#REF!</definedName>
    <definedName name="S3R8">#REF!</definedName>
    <definedName name="S3R9">#REF!</definedName>
    <definedName name="S40P1">#REF!</definedName>
    <definedName name="S40P10">#REF!</definedName>
    <definedName name="S40P11">#REF!</definedName>
    <definedName name="S40P12">#REF!</definedName>
    <definedName name="S40P13">#REF!</definedName>
    <definedName name="S40P14">#REF!</definedName>
    <definedName name="S40P15">#REF!</definedName>
    <definedName name="S40P16">#REF!</definedName>
    <definedName name="S40P17">#REF!</definedName>
    <definedName name="S40P18">#REF!</definedName>
    <definedName name="S40P19">#REF!</definedName>
    <definedName name="S40P2">#REF!</definedName>
    <definedName name="S40P20">#REF!</definedName>
    <definedName name="S40P21">#REF!</definedName>
    <definedName name="S40P22">#REF!</definedName>
    <definedName name="S40P23">#REF!</definedName>
    <definedName name="S40P24">#REF!</definedName>
    <definedName name="S40P3">#REF!</definedName>
    <definedName name="S40P4">#REF!</definedName>
    <definedName name="S40P5">#REF!</definedName>
    <definedName name="S40P6">#REF!</definedName>
    <definedName name="S40P7">#REF!</definedName>
    <definedName name="S40P8">#REF!</definedName>
    <definedName name="S40P9">#REF!</definedName>
    <definedName name="S40R1">#REF!</definedName>
    <definedName name="S40R10">#REF!</definedName>
    <definedName name="S40R11">#REF!</definedName>
    <definedName name="S40R12">#REF!</definedName>
    <definedName name="S40R13">#REF!</definedName>
    <definedName name="S40R14">#REF!</definedName>
    <definedName name="S40R15">#REF!</definedName>
    <definedName name="S40R16">#REF!</definedName>
    <definedName name="S40R17">#REF!</definedName>
    <definedName name="S40R18">#REF!</definedName>
    <definedName name="S40R19">#REF!</definedName>
    <definedName name="S40R2">#REF!</definedName>
    <definedName name="S40R20">#REF!</definedName>
    <definedName name="S40R21">#REF!</definedName>
    <definedName name="S40R22">#REF!</definedName>
    <definedName name="S40R23">#REF!</definedName>
    <definedName name="S40R24">#REF!</definedName>
    <definedName name="S40R3">#REF!</definedName>
    <definedName name="S40R4">#REF!</definedName>
    <definedName name="S40R5">#REF!</definedName>
    <definedName name="S40R6">#REF!</definedName>
    <definedName name="S40R7">#REF!</definedName>
    <definedName name="S40R8">#REF!</definedName>
    <definedName name="S40R9">#REF!</definedName>
    <definedName name="S41P1">#REF!</definedName>
    <definedName name="S41P10">#REF!</definedName>
    <definedName name="S41P11">#REF!</definedName>
    <definedName name="S41P12">#REF!</definedName>
    <definedName name="S41P13">#REF!</definedName>
    <definedName name="S41P14">#REF!</definedName>
    <definedName name="S41P15">#REF!</definedName>
    <definedName name="S41P16">#REF!</definedName>
    <definedName name="S41P17">#REF!</definedName>
    <definedName name="S41P18">#REF!</definedName>
    <definedName name="S41P19">#REF!</definedName>
    <definedName name="S41P2">#REF!</definedName>
    <definedName name="S41P20">#REF!</definedName>
    <definedName name="S41P21">#REF!</definedName>
    <definedName name="S41P22">#REF!</definedName>
    <definedName name="S41P23">#REF!</definedName>
    <definedName name="S41P24">#REF!</definedName>
    <definedName name="S41P3">#REF!</definedName>
    <definedName name="S41P4">#REF!</definedName>
    <definedName name="S41P5">#REF!</definedName>
    <definedName name="S41P6">#REF!</definedName>
    <definedName name="S41P7">#REF!</definedName>
    <definedName name="S41P8">#REF!</definedName>
    <definedName name="S41P9">#REF!</definedName>
    <definedName name="S41R1">#REF!</definedName>
    <definedName name="S41R10">#REF!</definedName>
    <definedName name="S41R11">#REF!</definedName>
    <definedName name="S41R12">#REF!</definedName>
    <definedName name="S41R13">#REF!</definedName>
    <definedName name="S41R14">#REF!</definedName>
    <definedName name="S41R15">#REF!</definedName>
    <definedName name="S41R16">#REF!</definedName>
    <definedName name="S41R17">#REF!</definedName>
    <definedName name="S41R18">#REF!</definedName>
    <definedName name="S41R19">#REF!</definedName>
    <definedName name="S41R2">#REF!</definedName>
    <definedName name="S41R20">#REF!</definedName>
    <definedName name="S41R21">#REF!</definedName>
    <definedName name="S41R22">#REF!</definedName>
    <definedName name="S41R23">#REF!</definedName>
    <definedName name="S41R24">#REF!</definedName>
    <definedName name="S41R3">#REF!</definedName>
    <definedName name="S41R4">#REF!</definedName>
    <definedName name="S41R5">#REF!</definedName>
    <definedName name="S41R6">#REF!</definedName>
    <definedName name="S41R7">#REF!</definedName>
    <definedName name="S41R8">#REF!</definedName>
    <definedName name="S41R9">#REF!</definedName>
    <definedName name="S42P1">#REF!</definedName>
    <definedName name="S42P10">#REF!</definedName>
    <definedName name="S42P11">#REF!</definedName>
    <definedName name="S42P12">#REF!</definedName>
    <definedName name="S42P13">#REF!</definedName>
    <definedName name="S42P14">#REF!</definedName>
    <definedName name="S42P15">#REF!</definedName>
    <definedName name="S42P16">#REF!</definedName>
    <definedName name="S42P17">#REF!</definedName>
    <definedName name="S42P18">#REF!</definedName>
    <definedName name="S42P19">#REF!</definedName>
    <definedName name="S42P2">#REF!</definedName>
    <definedName name="S42P20">#REF!</definedName>
    <definedName name="S42P21">#REF!</definedName>
    <definedName name="S42P22">#REF!</definedName>
    <definedName name="S42P23">#REF!</definedName>
    <definedName name="S42P24">#REF!</definedName>
    <definedName name="S42P3">#REF!</definedName>
    <definedName name="S42P4">#REF!</definedName>
    <definedName name="S42P5">#REF!</definedName>
    <definedName name="S42P6">#REF!</definedName>
    <definedName name="S42P7">#REF!</definedName>
    <definedName name="S42P8">#REF!</definedName>
    <definedName name="S42P9">#REF!</definedName>
    <definedName name="S42R1">#REF!</definedName>
    <definedName name="S42R10">#REF!</definedName>
    <definedName name="S42R11">#REF!</definedName>
    <definedName name="S42R12">#REF!</definedName>
    <definedName name="S42R13">#REF!</definedName>
    <definedName name="S42R14">#REF!</definedName>
    <definedName name="S42R15">#REF!</definedName>
    <definedName name="S42R16">#REF!</definedName>
    <definedName name="S42R17">#REF!</definedName>
    <definedName name="S42R18">#REF!</definedName>
    <definedName name="S42R19">#REF!</definedName>
    <definedName name="S42R2">#REF!</definedName>
    <definedName name="S42R20">#REF!</definedName>
    <definedName name="S42R21">#REF!</definedName>
    <definedName name="S42R22">#REF!</definedName>
    <definedName name="S42R23">#REF!</definedName>
    <definedName name="S42R24">#REF!</definedName>
    <definedName name="S42R3">#REF!</definedName>
    <definedName name="S42R4">#REF!</definedName>
    <definedName name="S42R5">#REF!</definedName>
    <definedName name="S42R6">#REF!</definedName>
    <definedName name="S42R7">#REF!</definedName>
    <definedName name="S42R8">#REF!</definedName>
    <definedName name="S42R9">#REF!</definedName>
    <definedName name="S43P1">#REF!</definedName>
    <definedName name="S43P10">#REF!</definedName>
    <definedName name="S43P11">#REF!</definedName>
    <definedName name="S43P12">#REF!</definedName>
    <definedName name="S43P13">#REF!</definedName>
    <definedName name="S43P14">#REF!</definedName>
    <definedName name="S43P15">#REF!</definedName>
    <definedName name="S43P16">#REF!</definedName>
    <definedName name="S43P17">#REF!</definedName>
    <definedName name="S43P18">#REF!</definedName>
    <definedName name="S43P19">#REF!</definedName>
    <definedName name="S43P2">#REF!</definedName>
    <definedName name="S43P20">#REF!</definedName>
    <definedName name="S43P21">#REF!</definedName>
    <definedName name="S43P22">#REF!</definedName>
    <definedName name="S43P23">#REF!</definedName>
    <definedName name="S43P24">#REF!</definedName>
    <definedName name="S43P3">#REF!</definedName>
    <definedName name="S43P4">#REF!</definedName>
    <definedName name="S43P5">#REF!</definedName>
    <definedName name="S43P6">#REF!</definedName>
    <definedName name="S43P7">#REF!</definedName>
    <definedName name="S43P8">#REF!</definedName>
    <definedName name="S43P9">#REF!</definedName>
    <definedName name="S43R1">#REF!</definedName>
    <definedName name="S43R10">#REF!</definedName>
    <definedName name="S43R11">#REF!</definedName>
    <definedName name="S43R12">#REF!</definedName>
    <definedName name="S43R13">#REF!</definedName>
    <definedName name="S43R14">#REF!</definedName>
    <definedName name="S43R15">#REF!</definedName>
    <definedName name="S43R16">#REF!</definedName>
    <definedName name="S43R17">#REF!</definedName>
    <definedName name="S43R18">#REF!</definedName>
    <definedName name="S43R19">#REF!</definedName>
    <definedName name="S43R2">#REF!</definedName>
    <definedName name="S43R20">#REF!</definedName>
    <definedName name="S43R21">#REF!</definedName>
    <definedName name="S43R22">#REF!</definedName>
    <definedName name="S43R23">#REF!</definedName>
    <definedName name="S43R24">#REF!</definedName>
    <definedName name="S43R3">#REF!</definedName>
    <definedName name="S43R4">#REF!</definedName>
    <definedName name="S43R5">#REF!</definedName>
    <definedName name="S43R6">#REF!</definedName>
    <definedName name="S43R7">#REF!</definedName>
    <definedName name="S43R8">#REF!</definedName>
    <definedName name="S43R9">#REF!</definedName>
    <definedName name="S44P1">#REF!</definedName>
    <definedName name="S44P10">#REF!</definedName>
    <definedName name="S44P11">#REF!</definedName>
    <definedName name="S44P12">#REF!</definedName>
    <definedName name="S44P13">#REF!</definedName>
    <definedName name="S44P14">#REF!</definedName>
    <definedName name="S44P15">#REF!</definedName>
    <definedName name="S44P16">#REF!</definedName>
    <definedName name="S44P17">#REF!</definedName>
    <definedName name="S44P18">#REF!</definedName>
    <definedName name="S44P19">#REF!</definedName>
    <definedName name="S44P2">#REF!</definedName>
    <definedName name="S44P20">#REF!</definedName>
    <definedName name="S44P21">#REF!</definedName>
    <definedName name="S44P22">#REF!</definedName>
    <definedName name="S44P23">#REF!</definedName>
    <definedName name="S44P24">#REF!</definedName>
    <definedName name="S44P3">#REF!</definedName>
    <definedName name="S44P4">#REF!</definedName>
    <definedName name="S44P5">#REF!</definedName>
    <definedName name="S44P6">#REF!</definedName>
    <definedName name="S44P7">#REF!</definedName>
    <definedName name="S44P8">#REF!</definedName>
    <definedName name="S44P9">#REF!</definedName>
    <definedName name="S44R1">#REF!</definedName>
    <definedName name="S44R10">#REF!</definedName>
    <definedName name="S44R11">#REF!</definedName>
    <definedName name="S44R12">#REF!</definedName>
    <definedName name="S44R13">#REF!</definedName>
    <definedName name="S44R14">#REF!</definedName>
    <definedName name="S44R15">#REF!</definedName>
    <definedName name="S44R16">#REF!</definedName>
    <definedName name="S44R17">#REF!</definedName>
    <definedName name="S44R18">#REF!</definedName>
    <definedName name="S44R19">#REF!</definedName>
    <definedName name="S44R2">#REF!</definedName>
    <definedName name="S44R20">#REF!</definedName>
    <definedName name="S44R21">#REF!</definedName>
    <definedName name="S44R22">#REF!</definedName>
    <definedName name="S44R23">#REF!</definedName>
    <definedName name="S44R24">#REF!</definedName>
    <definedName name="S44R3">#REF!</definedName>
    <definedName name="S44R4">#REF!</definedName>
    <definedName name="S44R5">#REF!</definedName>
    <definedName name="S44R6">#REF!</definedName>
    <definedName name="S44R7">#REF!</definedName>
    <definedName name="S44R8">#REF!</definedName>
    <definedName name="S44R9">#REF!</definedName>
    <definedName name="S45P1">#REF!</definedName>
    <definedName name="S45P10">#REF!</definedName>
    <definedName name="S45P11">#REF!</definedName>
    <definedName name="S45P12">#REF!</definedName>
    <definedName name="S45P13">#REF!</definedName>
    <definedName name="S45P14">#REF!</definedName>
    <definedName name="S45P15">#REF!</definedName>
    <definedName name="S45P16">#REF!</definedName>
    <definedName name="S45P17">#REF!</definedName>
    <definedName name="S45P18">#REF!</definedName>
    <definedName name="S45P19">#REF!</definedName>
    <definedName name="S45P2">#REF!</definedName>
    <definedName name="S45P20">#REF!</definedName>
    <definedName name="S45P21">#REF!</definedName>
    <definedName name="S45P22">#REF!</definedName>
    <definedName name="S45P23">#REF!</definedName>
    <definedName name="S45P24">#REF!</definedName>
    <definedName name="S45P3">#REF!</definedName>
    <definedName name="S45P4">#REF!</definedName>
    <definedName name="S45P5">#REF!</definedName>
    <definedName name="S45P6">#REF!</definedName>
    <definedName name="S45P7">#REF!</definedName>
    <definedName name="S45P8">#REF!</definedName>
    <definedName name="S45P9">#REF!</definedName>
    <definedName name="S45R1">#REF!</definedName>
    <definedName name="S45R10">#REF!</definedName>
    <definedName name="S45R11">#REF!</definedName>
    <definedName name="S45R12">#REF!</definedName>
    <definedName name="S45R13">#REF!</definedName>
    <definedName name="S45R14">#REF!</definedName>
    <definedName name="S45R15">#REF!</definedName>
    <definedName name="S45R16">#REF!</definedName>
    <definedName name="S45R17">#REF!</definedName>
    <definedName name="S45R18">#REF!</definedName>
    <definedName name="S45R19">#REF!</definedName>
    <definedName name="S45R2">#REF!</definedName>
    <definedName name="S45R20">#REF!</definedName>
    <definedName name="S45R21">#REF!</definedName>
    <definedName name="S45R22">#REF!</definedName>
    <definedName name="S45R23">#REF!</definedName>
    <definedName name="S45R24">#REF!</definedName>
    <definedName name="S45R3">#REF!</definedName>
    <definedName name="S45R4">#REF!</definedName>
    <definedName name="S45R5">#REF!</definedName>
    <definedName name="S45R6">#REF!</definedName>
    <definedName name="S45R7">#REF!</definedName>
    <definedName name="S45R8">#REF!</definedName>
    <definedName name="S45R9">#REF!</definedName>
    <definedName name="S4P1">#REF!</definedName>
    <definedName name="S4P10">#REF!</definedName>
    <definedName name="S4P11">#REF!</definedName>
    <definedName name="S4P12">#REF!</definedName>
    <definedName name="S4P13">#REF!</definedName>
    <definedName name="S4P14">#REF!</definedName>
    <definedName name="S4P15">#REF!</definedName>
    <definedName name="S4P16">#REF!</definedName>
    <definedName name="S4P17">#REF!</definedName>
    <definedName name="S4P18">#REF!</definedName>
    <definedName name="S4P19">#REF!</definedName>
    <definedName name="S4P2">#REF!</definedName>
    <definedName name="S4P20">#REF!</definedName>
    <definedName name="S4P21">#REF!</definedName>
    <definedName name="S4P22">#REF!</definedName>
    <definedName name="S4P23">#REF!</definedName>
    <definedName name="S4P24">#REF!</definedName>
    <definedName name="S4P3">#REF!</definedName>
    <definedName name="S4P4">#REF!</definedName>
    <definedName name="S4P5">#REF!</definedName>
    <definedName name="S4P6">#REF!</definedName>
    <definedName name="S4P7">#REF!</definedName>
    <definedName name="S4P8">#REF!</definedName>
    <definedName name="S4P9">#REF!</definedName>
    <definedName name="S4R1">#REF!</definedName>
    <definedName name="S4R10">#REF!</definedName>
    <definedName name="S4R11">#REF!</definedName>
    <definedName name="S4R12">#REF!</definedName>
    <definedName name="S4R13">#REF!</definedName>
    <definedName name="S4R14">#REF!</definedName>
    <definedName name="S4R15">#REF!</definedName>
    <definedName name="S4R16">#REF!</definedName>
    <definedName name="S4R17">#REF!</definedName>
    <definedName name="S4R18">#REF!</definedName>
    <definedName name="S4R19">#REF!</definedName>
    <definedName name="S4R2">#REF!</definedName>
    <definedName name="S4R20">#REF!</definedName>
    <definedName name="S4R21">#REF!</definedName>
    <definedName name="S4R22">#REF!</definedName>
    <definedName name="S4R23">#REF!</definedName>
    <definedName name="S4R24">#REF!</definedName>
    <definedName name="S4R3">#REF!</definedName>
    <definedName name="S4R4">#REF!</definedName>
    <definedName name="S4R5">#REF!</definedName>
    <definedName name="S4R6">#REF!</definedName>
    <definedName name="S4R7">#REF!</definedName>
    <definedName name="S4R8">#REF!</definedName>
    <definedName name="S4R9">#REF!</definedName>
    <definedName name="S5P1">#REF!</definedName>
    <definedName name="S5P10">#REF!</definedName>
    <definedName name="S5P11">#REF!</definedName>
    <definedName name="S5P12">#REF!</definedName>
    <definedName name="S5P13">#REF!</definedName>
    <definedName name="S5P14">#REF!</definedName>
    <definedName name="S5P15">#REF!</definedName>
    <definedName name="S5P16">#REF!</definedName>
    <definedName name="S5P17">#REF!</definedName>
    <definedName name="S5P18">#REF!</definedName>
    <definedName name="S5P19">#REF!</definedName>
    <definedName name="S5P2">#REF!</definedName>
    <definedName name="S5P20">#REF!</definedName>
    <definedName name="S5P21">#REF!</definedName>
    <definedName name="S5P22">#REF!</definedName>
    <definedName name="S5P23">#REF!</definedName>
    <definedName name="S5P24">#REF!</definedName>
    <definedName name="S5P3">#REF!</definedName>
    <definedName name="S5P4">#REF!</definedName>
    <definedName name="S5P5">#REF!</definedName>
    <definedName name="S5P6">#REF!</definedName>
    <definedName name="S5P7">#REF!</definedName>
    <definedName name="S5P8">#REF!</definedName>
    <definedName name="S5P9">#REF!</definedName>
    <definedName name="S5R1">#REF!</definedName>
    <definedName name="S5R10">#REF!</definedName>
    <definedName name="S5R11">#REF!</definedName>
    <definedName name="S5R12">#REF!</definedName>
    <definedName name="S5R13">#REF!</definedName>
    <definedName name="S5R14">#REF!</definedName>
    <definedName name="S5R15">#REF!</definedName>
    <definedName name="S5R16">#REF!</definedName>
    <definedName name="S5R17">#REF!</definedName>
    <definedName name="S5R18">#REF!</definedName>
    <definedName name="S5R19">#REF!</definedName>
    <definedName name="S5R2">#REF!</definedName>
    <definedName name="S5R20">#REF!</definedName>
    <definedName name="S5R21">#REF!</definedName>
    <definedName name="S5R22">#REF!</definedName>
    <definedName name="S5R23">#REF!</definedName>
    <definedName name="S5R24">#REF!</definedName>
    <definedName name="S5R3">#REF!</definedName>
    <definedName name="S5R4">#REF!</definedName>
    <definedName name="S5R5">#REF!</definedName>
    <definedName name="S5R6">#REF!</definedName>
    <definedName name="S5R7">#REF!</definedName>
    <definedName name="S5R8">#REF!</definedName>
    <definedName name="S5R9">#REF!</definedName>
    <definedName name="S6P1">#REF!</definedName>
    <definedName name="S6P10">#REF!</definedName>
    <definedName name="S6P11">#REF!</definedName>
    <definedName name="S6P12">#REF!</definedName>
    <definedName name="S6P13">#REF!</definedName>
    <definedName name="S6P14">#REF!</definedName>
    <definedName name="S6P15">#REF!</definedName>
    <definedName name="S6P16">#REF!</definedName>
    <definedName name="S6P17">#REF!</definedName>
    <definedName name="S6P18">#REF!</definedName>
    <definedName name="S6P19">#REF!</definedName>
    <definedName name="S6P2">#REF!</definedName>
    <definedName name="S6P20">#REF!</definedName>
    <definedName name="S6P21">#REF!</definedName>
    <definedName name="S6P22">#REF!</definedName>
    <definedName name="S6P23">#REF!</definedName>
    <definedName name="S6P24">#REF!</definedName>
    <definedName name="S6P3">#REF!</definedName>
    <definedName name="S6P4">#REF!</definedName>
    <definedName name="S6P5">#REF!</definedName>
    <definedName name="S6P6">#REF!</definedName>
    <definedName name="S6P7">#REF!</definedName>
    <definedName name="S6P8">#REF!</definedName>
    <definedName name="S6P9">#REF!</definedName>
    <definedName name="S6R1">#REF!</definedName>
    <definedName name="S6R10">#REF!</definedName>
    <definedName name="S6R11">#REF!</definedName>
    <definedName name="S6R12">#REF!</definedName>
    <definedName name="S6R13">#REF!</definedName>
    <definedName name="S6R14">#REF!</definedName>
    <definedName name="S6R15">#REF!</definedName>
    <definedName name="S6R16">#REF!</definedName>
    <definedName name="S6R17">#REF!</definedName>
    <definedName name="S6R18">#REF!</definedName>
    <definedName name="S6R19">#REF!</definedName>
    <definedName name="S6R2">#REF!</definedName>
    <definedName name="S6R20">#REF!</definedName>
    <definedName name="S6R21">#REF!</definedName>
    <definedName name="S6R22">#REF!</definedName>
    <definedName name="S6R23">#REF!</definedName>
    <definedName name="S6R24">#REF!</definedName>
    <definedName name="S6R3">#REF!</definedName>
    <definedName name="S6R4">#REF!</definedName>
    <definedName name="S6R5">#REF!</definedName>
    <definedName name="S6R6">#REF!</definedName>
    <definedName name="S6R7">#REF!</definedName>
    <definedName name="S6R8">#REF!</definedName>
    <definedName name="S6R9">#REF!</definedName>
    <definedName name="S7P1">#REF!</definedName>
    <definedName name="S7P10">#REF!</definedName>
    <definedName name="S7P11">#REF!</definedName>
    <definedName name="S7P12">#REF!</definedName>
    <definedName name="S7P13">#REF!</definedName>
    <definedName name="S7P14">#REF!</definedName>
    <definedName name="S7P15">#REF!</definedName>
    <definedName name="S7P16">#REF!</definedName>
    <definedName name="S7P17">#REF!</definedName>
    <definedName name="S7P18">#REF!</definedName>
    <definedName name="S7P19">#REF!</definedName>
    <definedName name="S7P2">#REF!</definedName>
    <definedName name="S7P20">#REF!</definedName>
    <definedName name="S7P21">#REF!</definedName>
    <definedName name="S7P22">#REF!</definedName>
    <definedName name="S7P23">#REF!</definedName>
    <definedName name="S7P24">#REF!</definedName>
    <definedName name="S7P3">#REF!</definedName>
    <definedName name="S7P4">#REF!</definedName>
    <definedName name="S7P5">#REF!</definedName>
    <definedName name="S7P6">#REF!</definedName>
    <definedName name="S7P7">#REF!</definedName>
    <definedName name="S7P8">#REF!</definedName>
    <definedName name="S7P9">#REF!</definedName>
    <definedName name="S7R1">#REF!</definedName>
    <definedName name="S7R10">#REF!</definedName>
    <definedName name="S7R11">#REF!</definedName>
    <definedName name="S7R12">#REF!</definedName>
    <definedName name="S7R13">#REF!</definedName>
    <definedName name="S7R14">#REF!</definedName>
    <definedName name="S7R15">#REF!</definedName>
    <definedName name="S7R16">#REF!</definedName>
    <definedName name="S7R17">#REF!</definedName>
    <definedName name="S7R18">#REF!</definedName>
    <definedName name="S7R19">#REF!</definedName>
    <definedName name="S7R2">#REF!</definedName>
    <definedName name="S7R20">#REF!</definedName>
    <definedName name="S7R21">#REF!</definedName>
    <definedName name="S7R22">#REF!</definedName>
    <definedName name="S7R23">#REF!</definedName>
    <definedName name="S7R24">#REF!</definedName>
    <definedName name="S7R3">#REF!</definedName>
    <definedName name="S7R4">#REF!</definedName>
    <definedName name="S7R5">#REF!</definedName>
    <definedName name="S7R6">#REF!</definedName>
    <definedName name="S7R7">#REF!</definedName>
    <definedName name="S7R8">#REF!</definedName>
    <definedName name="S7R9">#REF!</definedName>
    <definedName name="S8P1">#REF!</definedName>
    <definedName name="S8P10">#REF!</definedName>
    <definedName name="S8P11">#REF!</definedName>
    <definedName name="S8P12">#REF!</definedName>
    <definedName name="S8P13">#REF!</definedName>
    <definedName name="S8P14">#REF!</definedName>
    <definedName name="S8P15">#REF!</definedName>
    <definedName name="S8P16">#REF!</definedName>
    <definedName name="S8P17">#REF!</definedName>
    <definedName name="S8P18">#REF!</definedName>
    <definedName name="S8P19">#REF!</definedName>
    <definedName name="S8P2">#REF!</definedName>
    <definedName name="S8P20">#REF!</definedName>
    <definedName name="S8P21">#REF!</definedName>
    <definedName name="S8P22">#REF!</definedName>
    <definedName name="S8P23">#REF!</definedName>
    <definedName name="S8P24">#REF!</definedName>
    <definedName name="S8P3">#REF!</definedName>
    <definedName name="S8P4">#REF!</definedName>
    <definedName name="S8P5">#REF!</definedName>
    <definedName name="S8P6">#REF!</definedName>
    <definedName name="S8P7">#REF!</definedName>
    <definedName name="S8P8">#REF!</definedName>
    <definedName name="S8P9">#REF!</definedName>
    <definedName name="S8R1">#REF!</definedName>
    <definedName name="S8R10">#REF!</definedName>
    <definedName name="S8R11">#REF!</definedName>
    <definedName name="S8R12">#REF!</definedName>
    <definedName name="S8R13">#REF!</definedName>
    <definedName name="S8R14">#REF!</definedName>
    <definedName name="S8R15">#REF!</definedName>
    <definedName name="S8R16">#REF!</definedName>
    <definedName name="S8R17">#REF!</definedName>
    <definedName name="S8R18">#REF!</definedName>
    <definedName name="S8R19">#REF!</definedName>
    <definedName name="S8R2">#REF!</definedName>
    <definedName name="S8R20">#REF!</definedName>
    <definedName name="S8R21">#REF!</definedName>
    <definedName name="S8R22">#REF!</definedName>
    <definedName name="S8R23">#REF!</definedName>
    <definedName name="S8R24">#REF!</definedName>
    <definedName name="S8R3">#REF!</definedName>
    <definedName name="S8R4">#REF!</definedName>
    <definedName name="S8R5">#REF!</definedName>
    <definedName name="S8R6">#REF!</definedName>
    <definedName name="S8R7">#REF!</definedName>
    <definedName name="S8R8">#REF!</definedName>
    <definedName name="S8R9">#REF!</definedName>
    <definedName name="S9P1">#REF!</definedName>
    <definedName name="S9P10">#REF!</definedName>
    <definedName name="S9P11">#REF!</definedName>
    <definedName name="S9P12">#REF!</definedName>
    <definedName name="S9P13">#REF!</definedName>
    <definedName name="S9P14">#REF!</definedName>
    <definedName name="S9P15">#REF!</definedName>
    <definedName name="S9P16">#REF!</definedName>
    <definedName name="S9P17">#REF!</definedName>
    <definedName name="S9P18">#REF!</definedName>
    <definedName name="S9P19">#REF!</definedName>
    <definedName name="S9P2">#REF!</definedName>
    <definedName name="S9P20">#REF!</definedName>
    <definedName name="S9P21">#REF!</definedName>
    <definedName name="S9P22">#REF!</definedName>
    <definedName name="S9P23">#REF!</definedName>
    <definedName name="S9P24">#REF!</definedName>
    <definedName name="S9P3">#REF!</definedName>
    <definedName name="S9P4">#REF!</definedName>
    <definedName name="S9P5">#REF!</definedName>
    <definedName name="S9P6">#REF!</definedName>
    <definedName name="S9P7">#REF!</definedName>
    <definedName name="S9P8">#REF!</definedName>
    <definedName name="S9P9">#REF!</definedName>
    <definedName name="S9R1">#REF!</definedName>
    <definedName name="S9R10">#REF!</definedName>
    <definedName name="S9R11">#REF!</definedName>
    <definedName name="S9R12">#REF!</definedName>
    <definedName name="S9R13">#REF!</definedName>
    <definedName name="S9R14">#REF!</definedName>
    <definedName name="S9R15">#REF!</definedName>
    <definedName name="S9R16">#REF!</definedName>
    <definedName name="S9R17">#REF!</definedName>
    <definedName name="S9R18">#REF!</definedName>
    <definedName name="S9R19">#REF!</definedName>
    <definedName name="S9R2">#REF!</definedName>
    <definedName name="S9R20">#REF!</definedName>
    <definedName name="S9R21">#REF!</definedName>
    <definedName name="S9R22">#REF!</definedName>
    <definedName name="S9R23">#REF!</definedName>
    <definedName name="S9R24">#REF!</definedName>
    <definedName name="S9R3">#REF!</definedName>
    <definedName name="S9R4">#REF!</definedName>
    <definedName name="S9R5">#REF!</definedName>
    <definedName name="S9R6">#REF!</definedName>
    <definedName name="S9R7">#REF!</definedName>
    <definedName name="S9R8">#REF!</definedName>
    <definedName name="S9R9">#REF!</definedName>
    <definedName name="soma_total">#REF!</definedName>
    <definedName name="sub_item_1">#REF!</definedName>
    <definedName name="sub_item_10">#REF!</definedName>
    <definedName name="sub_item_11">#REF!</definedName>
    <definedName name="sub_item_12">#REF!</definedName>
    <definedName name="sub_item_13">#REF!</definedName>
    <definedName name="sub_item_14">#REF!</definedName>
    <definedName name="sub_item_15">#REF!</definedName>
    <definedName name="sub_item_16">#REF!</definedName>
    <definedName name="sub_item_17">#REF!</definedName>
    <definedName name="sub_item_18">#REF!</definedName>
    <definedName name="sub_item_19">#REF!</definedName>
    <definedName name="sub_item_2">#REF!</definedName>
    <definedName name="sub_item_20">#REF!</definedName>
    <definedName name="sub_item_21">#REF!</definedName>
    <definedName name="sub_item_22">#REF!</definedName>
    <definedName name="sub_item_23">#REF!</definedName>
    <definedName name="sub_item_24">#REF!</definedName>
    <definedName name="sub_item_25">#REF!</definedName>
    <definedName name="sub_item_26">#REF!</definedName>
    <definedName name="sub_item_27">#REF!</definedName>
    <definedName name="sub_item_28">#REF!</definedName>
    <definedName name="sub_item_29">#REF!</definedName>
    <definedName name="sub_item_3">#REF!</definedName>
    <definedName name="sub_item_30">#REF!</definedName>
    <definedName name="sub_item_31">#REF!</definedName>
    <definedName name="sub_item_32">#REF!</definedName>
    <definedName name="sub_item_33">#REF!</definedName>
    <definedName name="sub_item_34">#REF!</definedName>
    <definedName name="sub_item_35">#REF!</definedName>
    <definedName name="sub_item_36">#REF!</definedName>
    <definedName name="sub_item_37">#REF!</definedName>
    <definedName name="sub_item_38">#REF!</definedName>
    <definedName name="sub_item_39">#REF!</definedName>
    <definedName name="sub_item_4">#REF!</definedName>
    <definedName name="sub_item_40">#REF!</definedName>
    <definedName name="sub_item_41">#REF!</definedName>
    <definedName name="sub_item_42">#REF!</definedName>
    <definedName name="sub_item_43">#REF!</definedName>
    <definedName name="sub_item_44">#REF!</definedName>
    <definedName name="sub_item_45">#REF!</definedName>
    <definedName name="sub_item_5">#REF!</definedName>
    <definedName name="sub_item_6">#REF!</definedName>
    <definedName name="sub_item_7">#REF!</definedName>
    <definedName name="sub_item_8">#REF!</definedName>
    <definedName name="sub_item_9">#REF!</definedName>
    <definedName name="switch">#REF!</definedName>
    <definedName name="T">#REF!</definedName>
    <definedName name="teste">"$#REF!.$A$1:$B$3278"</definedName>
    <definedName name="_xlnm.Print_Titles" localSheetId="0">CEHOP_2025!$1:$5</definedName>
    <definedName name="_xlnm.Print_Titles" localSheetId="3">'RESUMO - ORSE'!$1:$4</definedName>
    <definedName name="_xlnm.Print_Titles" localSheetId="2">'RESUMO - SECID'!$1:$4</definedName>
    <definedName name="_xlnm.Print_Titles" localSheetId="1">'SECID PR_2024'!$1:$8</definedName>
    <definedName name="TOTAL_ACU_REF">#REF!</definedName>
    <definedName name="TOTAL_ADD">#REF!</definedName>
    <definedName name="TOTAL_ADD_ACU">#REF!</definedName>
    <definedName name="TOTAL_REF">#REF!</definedName>
    <definedName name="TOTAL_RES">#REF!</definedName>
    <definedName name="TOTAL_RES_ACU">#REF!</definedName>
    <definedName name="Z_E9EF4FFF_2A51_4B23_8A33_7F2B85269ACF_.wvu.PrintArea_7">"#REF!"</definedName>
    <definedName name="Z_E9EF4FFF_2A51_4B23_8A33_7F2B85269ACF_.wvu.PrintArea_7_1">"#REF!"</definedName>
    <definedName name="Z_E9EF4FFF_2A51_4B23_8A33_7F2B85269ACF_.wvu.PrintArea_7_2">"#REF!"</definedName>
    <definedName name="Z_E9EF4FFF_2A51_4B23_8A33_7F2B85269ACF_.wvu.PrintArea_7_3">"#REF!"</definedName>
    <definedName name="Z_E9EF4FFF_2A51_4B23_8A33_7F2B85269ACF_.wvu.Rows_2">("#REF!,#REF!,#REF!,#REF!,#REF!,#REF!,#REF!,#REF!,#REF!,#REF!,#REF!,#REF!,#REF!)")</definedName>
    <definedName name="Z_E9EF4FFF_2A51_4B23_8A33_7F2B85269ACF_.wvu.Rows_2_1">("#REF!,#REF!,#REF!,#REF!,#REF!,#REF!,#REF!,#REF!,#REF!,#REF!,#REF!,#REF!,#REF!)")</definedName>
    <definedName name="Z_E9EF4FFF_2A51_4B23_8A33_7F2B85269ACF_.wvu.Rows_2_2">("#REF!,#REF!,#REF!,#REF!,#REF!,#REF!,#REF!,#REF!,#REF!,#REF!,#REF!,#REF!,#REF!)")</definedName>
    <definedName name="Z_E9EF4FFF_2A51_4B23_8A33_7F2B85269ACF_.wvu.Rows_2_3">("#REF!,#REF!,#REF!,#REF!,#REF!,#REF!,#REF!,#REF!,#REF!,#REF!,#REF!,#REF!,#REF!)")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4" l="1"/>
  <c r="C46" i="4"/>
  <c r="D46" i="4" s="1"/>
  <c r="C45" i="4"/>
  <c r="D45" i="4" s="1"/>
  <c r="C40" i="4"/>
  <c r="D40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E32" i="4"/>
  <c r="C32" i="4"/>
  <c r="D32" i="4" s="1"/>
  <c r="C31" i="4"/>
  <c r="D31" i="4" s="1"/>
  <c r="C30" i="4"/>
  <c r="D30" i="4" s="1"/>
  <c r="C29" i="4"/>
  <c r="D29" i="4" s="1"/>
  <c r="G29" i="4" s="1"/>
  <c r="I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G12" i="4" s="1"/>
  <c r="I12" i="4" s="1"/>
  <c r="C11" i="4"/>
  <c r="D11" i="4" s="1"/>
  <c r="E10" i="4"/>
  <c r="C10" i="4"/>
  <c r="D10" i="4" s="1"/>
  <c r="G10" i="4" s="1"/>
  <c r="I10" i="4" s="1"/>
  <c r="C9" i="4"/>
  <c r="D9" i="4" s="1"/>
  <c r="A8" i="4"/>
  <c r="A10" i="4" s="1"/>
  <c r="C7" i="4"/>
  <c r="D7" i="4" s="1"/>
  <c r="C6" i="4"/>
  <c r="D6" i="4" s="1"/>
  <c r="G6" i="4" s="1"/>
  <c r="F2" i="4"/>
  <c r="F1" i="4"/>
  <c r="D1" i="4"/>
  <c r="H49" i="3"/>
  <c r="E47" i="3"/>
  <c r="C47" i="3"/>
  <c r="D47" i="3" s="1"/>
  <c r="E46" i="3"/>
  <c r="C46" i="3"/>
  <c r="D46" i="3" s="1"/>
  <c r="E45" i="3"/>
  <c r="E44" i="3"/>
  <c r="C44" i="3"/>
  <c r="D44" i="3" s="1"/>
  <c r="E43" i="3"/>
  <c r="C43" i="3"/>
  <c r="D43" i="3" s="1"/>
  <c r="E42" i="3"/>
  <c r="D42" i="3"/>
  <c r="C42" i="3"/>
  <c r="E41" i="3"/>
  <c r="C41" i="3"/>
  <c r="D41" i="3" s="1"/>
  <c r="C40" i="3"/>
  <c r="D40" i="3" s="1"/>
  <c r="G40" i="3" s="1"/>
  <c r="I40" i="3" s="1"/>
  <c r="C39" i="3"/>
  <c r="D39" i="3" s="1"/>
  <c r="G39" i="3" s="1"/>
  <c r="I39" i="3" s="1"/>
  <c r="E37" i="3"/>
  <c r="C37" i="3"/>
  <c r="D37" i="3" s="1"/>
  <c r="G37" i="3" s="1"/>
  <c r="I37" i="3" s="1"/>
  <c r="E36" i="3"/>
  <c r="C36" i="3"/>
  <c r="D36" i="3" s="1"/>
  <c r="G36" i="3" s="1"/>
  <c r="I36" i="3" s="1"/>
  <c r="E35" i="3"/>
  <c r="C35" i="3"/>
  <c r="D35" i="3" s="1"/>
  <c r="G35" i="3" s="1"/>
  <c r="I35" i="3" s="1"/>
  <c r="E34" i="3"/>
  <c r="C34" i="3"/>
  <c r="D34" i="3" s="1"/>
  <c r="G34" i="3" s="1"/>
  <c r="I34" i="3" s="1"/>
  <c r="E33" i="3"/>
  <c r="C33" i="3"/>
  <c r="D33" i="3" s="1"/>
  <c r="G33" i="3" s="1"/>
  <c r="I33" i="3" s="1"/>
  <c r="E32" i="3"/>
  <c r="C32" i="3"/>
  <c r="D32" i="3" s="1"/>
  <c r="G32" i="3" s="1"/>
  <c r="I32" i="3" s="1"/>
  <c r="E31" i="3"/>
  <c r="C31" i="3"/>
  <c r="D31" i="3" s="1"/>
  <c r="E30" i="3"/>
  <c r="C30" i="3"/>
  <c r="D30" i="3" s="1"/>
  <c r="E29" i="3"/>
  <c r="C29" i="3"/>
  <c r="D29" i="3" s="1"/>
  <c r="E28" i="3"/>
  <c r="C28" i="3"/>
  <c r="D28" i="3" s="1"/>
  <c r="G28" i="3" s="1"/>
  <c r="I28" i="3" s="1"/>
  <c r="E27" i="3"/>
  <c r="C27" i="3"/>
  <c r="D27" i="3" s="1"/>
  <c r="E26" i="3"/>
  <c r="C26" i="3"/>
  <c r="D26" i="3" s="1"/>
  <c r="E25" i="3"/>
  <c r="C25" i="3"/>
  <c r="D25" i="3" s="1"/>
  <c r="E24" i="3"/>
  <c r="C24" i="3"/>
  <c r="D24" i="3" s="1"/>
  <c r="G24" i="3" s="1"/>
  <c r="I24" i="3" s="1"/>
  <c r="E23" i="3"/>
  <c r="C23" i="3"/>
  <c r="D23" i="3" s="1"/>
  <c r="E22" i="3"/>
  <c r="C22" i="3"/>
  <c r="D22" i="3" s="1"/>
  <c r="E21" i="3"/>
  <c r="C21" i="3"/>
  <c r="D21" i="3" s="1"/>
  <c r="G21" i="3" s="1"/>
  <c r="I21" i="3" s="1"/>
  <c r="E20" i="3"/>
  <c r="C20" i="3"/>
  <c r="D20" i="3" s="1"/>
  <c r="G20" i="3" s="1"/>
  <c r="E19" i="3"/>
  <c r="C19" i="3"/>
  <c r="D19" i="3" s="1"/>
  <c r="C18" i="3"/>
  <c r="D18" i="3" s="1"/>
  <c r="C17" i="3"/>
  <c r="D17" i="3" s="1"/>
  <c r="E16" i="3"/>
  <c r="C16" i="3"/>
  <c r="D16" i="3" s="1"/>
  <c r="E15" i="3"/>
  <c r="C15" i="3"/>
  <c r="D15" i="3" s="1"/>
  <c r="C14" i="3"/>
  <c r="D14" i="3" s="1"/>
  <c r="G14" i="3" s="1"/>
  <c r="I14" i="3" s="1"/>
  <c r="E13" i="3"/>
  <c r="C13" i="3"/>
  <c r="D13" i="3" s="1"/>
  <c r="G13" i="3" s="1"/>
  <c r="I13" i="3" s="1"/>
  <c r="C12" i="3"/>
  <c r="D12" i="3" s="1"/>
  <c r="G12" i="3" s="1"/>
  <c r="I12" i="3" s="1"/>
  <c r="C11" i="3"/>
  <c r="D11" i="3" s="1"/>
  <c r="E10" i="3"/>
  <c r="C10" i="3"/>
  <c r="D10" i="3" s="1"/>
  <c r="G10" i="3" s="1"/>
  <c r="I10" i="3" s="1"/>
  <c r="A10" i="3"/>
  <c r="C9" i="3"/>
  <c r="D9" i="3" s="1"/>
  <c r="C8" i="3"/>
  <c r="D8" i="3" s="1"/>
  <c r="A8" i="3"/>
  <c r="C7" i="3"/>
  <c r="D7" i="3" s="1"/>
  <c r="C6" i="3"/>
  <c r="D6" i="3" s="1"/>
  <c r="G6" i="3" s="1"/>
  <c r="F2" i="3"/>
  <c r="F1" i="3"/>
  <c r="D1" i="3"/>
  <c r="R170" i="2"/>
  <c r="R168" i="2"/>
  <c r="R167" i="2"/>
  <c r="R166" i="2"/>
  <c r="R165" i="2"/>
  <c r="R164" i="2"/>
  <c r="R163" i="2"/>
  <c r="R162" i="2"/>
  <c r="R161" i="2"/>
  <c r="R158" i="2"/>
  <c r="R157" i="2"/>
  <c r="R156" i="2"/>
  <c r="R155" i="2"/>
  <c r="R154" i="2"/>
  <c r="R152" i="2"/>
  <c r="R151" i="2"/>
  <c r="R149" i="2"/>
  <c r="R147" i="2"/>
  <c r="R119" i="2"/>
  <c r="R113" i="2"/>
  <c r="R112" i="2"/>
  <c r="R111" i="2"/>
  <c r="R110" i="2"/>
  <c r="R109" i="2"/>
  <c r="R108" i="2"/>
  <c r="R107" i="2"/>
  <c r="R106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1" i="2"/>
  <c r="R60" i="2"/>
  <c r="R59" i="2"/>
  <c r="R58" i="2"/>
  <c r="R57" i="2"/>
  <c r="R56" i="2"/>
  <c r="R55" i="2"/>
  <c r="R50" i="2"/>
  <c r="R48" i="2"/>
  <c r="R47" i="2"/>
  <c r="R45" i="2"/>
  <c r="R44" i="2"/>
  <c r="R43" i="2"/>
  <c r="R42" i="2"/>
  <c r="R41" i="2"/>
  <c r="R40" i="2"/>
  <c r="R39" i="2"/>
  <c r="R38" i="2"/>
  <c r="R37" i="2"/>
  <c r="R36" i="2"/>
  <c r="R35" i="2"/>
  <c r="R33" i="2"/>
  <c r="R32" i="2"/>
  <c r="R31" i="2"/>
  <c r="R30" i="2"/>
  <c r="R29" i="2"/>
  <c r="R28" i="2"/>
  <c r="R27" i="2"/>
  <c r="R26" i="2"/>
  <c r="R25" i="2"/>
  <c r="R24" i="2"/>
  <c r="R21" i="2"/>
  <c r="R20" i="2"/>
  <c r="R18" i="2"/>
  <c r="R17" i="2"/>
  <c r="R16" i="2"/>
  <c r="R15" i="2"/>
  <c r="R14" i="2"/>
  <c r="R12" i="2"/>
  <c r="R10" i="2"/>
  <c r="C273" i="1"/>
  <c r="C272" i="1"/>
  <c r="C271" i="1"/>
  <c r="K270" i="1"/>
  <c r="L270" i="1" s="1"/>
  <c r="C270" i="1"/>
  <c r="C269" i="1"/>
  <c r="C268" i="1"/>
  <c r="K267" i="1"/>
  <c r="C267" i="1"/>
  <c r="K266" i="1"/>
  <c r="M258" i="1"/>
  <c r="L258" i="1"/>
  <c r="K258" i="1"/>
  <c r="J258" i="1"/>
  <c r="O258" i="1" s="1"/>
  <c r="O257" i="1"/>
  <c r="T252" i="1"/>
  <c r="L252" i="1"/>
  <c r="D243" i="1"/>
  <c r="H243" i="1" s="1"/>
  <c r="D242" i="1"/>
  <c r="H242" i="1" s="1"/>
  <c r="D240" i="1"/>
  <c r="H240" i="1" s="1"/>
  <c r="D238" i="1"/>
  <c r="H238" i="1" s="1"/>
  <c r="T237" i="1"/>
  <c r="L237" i="1"/>
  <c r="H237" i="1"/>
  <c r="L235" i="1"/>
  <c r="D231" i="1"/>
  <c r="H231" i="1" s="1"/>
  <c r="K230" i="1"/>
  <c r="L230" i="1" s="1"/>
  <c r="L228" i="1"/>
  <c r="D228" i="1"/>
  <c r="H228" i="1" s="1"/>
  <c r="L226" i="1"/>
  <c r="D226" i="1"/>
  <c r="H226" i="1" s="1"/>
  <c r="K224" i="1"/>
  <c r="L224" i="1" s="1"/>
  <c r="D224" i="1" s="1"/>
  <c r="H224" i="1" s="1"/>
  <c r="L223" i="1"/>
  <c r="D223" i="1"/>
  <c r="H223" i="1" s="1"/>
  <c r="L222" i="1"/>
  <c r="H222" i="1"/>
  <c r="L220" i="1"/>
  <c r="D220" i="1"/>
  <c r="H220" i="1" s="1"/>
  <c r="H219" i="1"/>
  <c r="K218" i="1"/>
  <c r="L218" i="1" s="1"/>
  <c r="L217" i="1"/>
  <c r="D217" i="1"/>
  <c r="H217" i="1" s="1"/>
  <c r="L214" i="1"/>
  <c r="D214" i="1"/>
  <c r="H214" i="1" s="1"/>
  <c r="M213" i="1"/>
  <c r="D213" i="1"/>
  <c r="H213" i="1" s="1"/>
  <c r="M212" i="1"/>
  <c r="D212" i="1"/>
  <c r="H212" i="1" s="1"/>
  <c r="L211" i="1"/>
  <c r="D211" i="1"/>
  <c r="H211" i="1" s="1"/>
  <c r="L210" i="1"/>
  <c r="D210" i="1"/>
  <c r="H210" i="1" s="1"/>
  <c r="H208" i="1" s="1"/>
  <c r="H209" i="1"/>
  <c r="L207" i="1"/>
  <c r="D207" i="1"/>
  <c r="H207" i="1" s="1"/>
  <c r="K202" i="1"/>
  <c r="L201" i="1"/>
  <c r="D201" i="1"/>
  <c r="H201" i="1" s="1"/>
  <c r="L199" i="1"/>
  <c r="H199" i="1"/>
  <c r="M198" i="1"/>
  <c r="D198" i="1"/>
  <c r="H198" i="1" s="1"/>
  <c r="M197" i="1"/>
  <c r="D197" i="1"/>
  <c r="H197" i="1" s="1"/>
  <c r="L196" i="1"/>
  <c r="D196" i="1"/>
  <c r="H196" i="1" s="1"/>
  <c r="H195" i="1"/>
  <c r="L194" i="1"/>
  <c r="D194" i="1"/>
  <c r="H194" i="1" s="1"/>
  <c r="L193" i="1"/>
  <c r="D193" i="1"/>
  <c r="H193" i="1" s="1"/>
  <c r="H191" i="1" s="1"/>
  <c r="H192" i="1"/>
  <c r="M190" i="1"/>
  <c r="D190" i="1"/>
  <c r="H190" i="1" s="1"/>
  <c r="L189" i="1"/>
  <c r="D189" i="1"/>
  <c r="H189" i="1" s="1"/>
  <c r="H188" i="1"/>
  <c r="L187" i="1"/>
  <c r="D187" i="1"/>
  <c r="H187" i="1" s="1"/>
  <c r="H185" i="1" s="1"/>
  <c r="H186" i="1"/>
  <c r="L183" i="1"/>
  <c r="H183" i="1"/>
  <c r="D183" i="1"/>
  <c r="K182" i="1"/>
  <c r="L182" i="1" s="1"/>
  <c r="D182" i="1"/>
  <c r="H182" i="1" s="1"/>
  <c r="L181" i="1"/>
  <c r="D181" i="1"/>
  <c r="H181" i="1" s="1"/>
  <c r="L180" i="1"/>
  <c r="D180" i="1"/>
  <c r="H180" i="1" s="1"/>
  <c r="L179" i="1"/>
  <c r="J179" i="1"/>
  <c r="D179" i="1"/>
  <c r="H179" i="1" s="1"/>
  <c r="L178" i="1"/>
  <c r="D178" i="1"/>
  <c r="H178" i="1" s="1"/>
  <c r="H177" i="1" s="1"/>
  <c r="L176" i="1"/>
  <c r="D176" i="1"/>
  <c r="H176" i="1" s="1"/>
  <c r="H175" i="1" s="1"/>
  <c r="H174" i="1"/>
  <c r="H173" i="1"/>
  <c r="K172" i="1"/>
  <c r="K173" i="1" s="1"/>
  <c r="D172" i="1"/>
  <c r="H172" i="1" s="1"/>
  <c r="H171" i="1" s="1"/>
  <c r="K169" i="1"/>
  <c r="K170" i="1" s="1"/>
  <c r="D169" i="1"/>
  <c r="H169" i="1" s="1"/>
  <c r="H168" i="1" s="1"/>
  <c r="L167" i="1"/>
  <c r="D167" i="1"/>
  <c r="H167" i="1" s="1"/>
  <c r="H166" i="1" s="1"/>
  <c r="K162" i="1"/>
  <c r="D162" i="1"/>
  <c r="H162" i="1" s="1"/>
  <c r="H161" i="1" s="1"/>
  <c r="L160" i="1"/>
  <c r="D160" i="1"/>
  <c r="T157" i="1"/>
  <c r="H157" i="1"/>
  <c r="H155" i="1"/>
  <c r="H154" i="1"/>
  <c r="H153" i="1"/>
  <c r="H127" i="1"/>
  <c r="D125" i="1"/>
  <c r="H125" i="1" s="1"/>
  <c r="D124" i="1"/>
  <c r="H124" i="1" s="1"/>
  <c r="H119" i="1"/>
  <c r="H117" i="1"/>
  <c r="H116" i="1"/>
  <c r="H115" i="1"/>
  <c r="H114" i="1"/>
  <c r="H113" i="1"/>
  <c r="I112" i="1"/>
  <c r="I111" i="1"/>
  <c r="I110" i="1"/>
  <c r="D108" i="1"/>
  <c r="H108" i="1" s="1"/>
  <c r="D107" i="1"/>
  <c r="H107" i="1" s="1"/>
  <c r="D106" i="1"/>
  <c r="H106" i="1" s="1"/>
  <c r="H105" i="1" s="1"/>
  <c r="I96" i="1"/>
  <c r="I95" i="1"/>
  <c r="I94" i="1"/>
  <c r="H88" i="1"/>
  <c r="H87" i="1"/>
  <c r="D75" i="1"/>
  <c r="D74" i="1"/>
  <c r="D73" i="1"/>
  <c r="D72" i="1"/>
  <c r="D70" i="1"/>
  <c r="H70" i="1" s="1"/>
  <c r="D69" i="1"/>
  <c r="T67" i="1"/>
  <c r="H67" i="1"/>
  <c r="T65" i="1"/>
  <c r="H65" i="1"/>
  <c r="T64" i="1"/>
  <c r="H64" i="1"/>
  <c r="T63" i="1"/>
  <c r="H63" i="1"/>
  <c r="T62" i="1"/>
  <c r="H62" i="1"/>
  <c r="T61" i="1"/>
  <c r="H61" i="1"/>
  <c r="T60" i="1"/>
  <c r="H60" i="1"/>
  <c r="T59" i="1"/>
  <c r="H59" i="1"/>
  <c r="H58" i="1"/>
  <c r="T57" i="1"/>
  <c r="H57" i="1"/>
  <c r="T56" i="1"/>
  <c r="H56" i="1"/>
  <c r="T55" i="1"/>
  <c r="H55" i="1"/>
  <c r="T54" i="1"/>
  <c r="H54" i="1"/>
  <c r="T53" i="1"/>
  <c r="H53" i="1"/>
  <c r="T52" i="1"/>
  <c r="H52" i="1"/>
  <c r="T51" i="1"/>
  <c r="H51" i="1"/>
  <c r="H50" i="1"/>
  <c r="T49" i="1"/>
  <c r="H49" i="1"/>
  <c r="H48" i="1"/>
  <c r="T47" i="1"/>
  <c r="H47" i="1"/>
  <c r="T46" i="1"/>
  <c r="H46" i="1"/>
  <c r="H45" i="1"/>
  <c r="T44" i="1"/>
  <c r="D44" i="1"/>
  <c r="H44" i="1" s="1"/>
  <c r="T43" i="1"/>
  <c r="H43" i="1"/>
  <c r="T42" i="1"/>
  <c r="H42" i="1"/>
  <c r="T41" i="1"/>
  <c r="D41" i="1"/>
  <c r="T40" i="1"/>
  <c r="H40" i="1"/>
  <c r="T39" i="1"/>
  <c r="H39" i="1"/>
  <c r="T38" i="1"/>
  <c r="D38" i="1"/>
  <c r="H38" i="1" s="1"/>
  <c r="T37" i="1"/>
  <c r="H37" i="1"/>
  <c r="T36" i="1"/>
  <c r="H36" i="1"/>
  <c r="T35" i="1"/>
  <c r="D35" i="1"/>
  <c r="H35" i="1" s="1"/>
  <c r="T34" i="1"/>
  <c r="H34" i="1"/>
  <c r="T33" i="1"/>
  <c r="H33" i="1"/>
  <c r="T32" i="1"/>
  <c r="D32" i="1"/>
  <c r="H32" i="1" s="1"/>
  <c r="T31" i="1"/>
  <c r="H31" i="1"/>
  <c r="T30" i="1"/>
  <c r="H30" i="1"/>
  <c r="T29" i="1"/>
  <c r="D29" i="1"/>
  <c r="H29" i="1" s="1"/>
  <c r="T28" i="1"/>
  <c r="H28" i="1"/>
  <c r="T27" i="1"/>
  <c r="H27" i="1"/>
  <c r="T26" i="1"/>
  <c r="H26" i="1"/>
  <c r="D26" i="1"/>
  <c r="D244" i="1" s="1"/>
  <c r="H244" i="1" s="1"/>
  <c r="T25" i="1"/>
  <c r="H25" i="1"/>
  <c r="T24" i="1"/>
  <c r="H24" i="1"/>
  <c r="T23" i="1"/>
  <c r="H23" i="1"/>
  <c r="D23" i="1"/>
  <c r="D241" i="1" s="1"/>
  <c r="H241" i="1" s="1"/>
  <c r="T22" i="1"/>
  <c r="H22" i="1"/>
  <c r="T21" i="1"/>
  <c r="H21" i="1"/>
  <c r="T20" i="1"/>
  <c r="D20" i="1"/>
  <c r="H20" i="1" s="1"/>
  <c r="T19" i="1"/>
  <c r="H19" i="1"/>
  <c r="T18" i="1"/>
  <c r="H18" i="1"/>
  <c r="T17" i="1"/>
  <c r="D17" i="1"/>
  <c r="T16" i="1"/>
  <c r="H16" i="1"/>
  <c r="T15" i="1"/>
  <c r="H15" i="1"/>
  <c r="T14" i="1"/>
  <c r="D14" i="1"/>
  <c r="H14" i="1" s="1"/>
  <c r="T13" i="1"/>
  <c r="H13" i="1"/>
  <c r="T12" i="1"/>
  <c r="H12" i="1"/>
  <c r="T11" i="1"/>
  <c r="D11" i="1"/>
  <c r="H11" i="1" s="1"/>
  <c r="T10" i="1"/>
  <c r="H10" i="1"/>
  <c r="T9" i="1"/>
  <c r="H9" i="1"/>
  <c r="T7" i="1"/>
  <c r="H7" i="1"/>
  <c r="I6" i="4" l="1"/>
  <c r="I48" i="4" s="1"/>
  <c r="I50" i="4" s="1"/>
  <c r="G48" i="4"/>
  <c r="E45" i="4"/>
  <c r="E41" i="4"/>
  <c r="E8" i="4"/>
  <c r="E15" i="4"/>
  <c r="E46" i="4"/>
  <c r="E35" i="4"/>
  <c r="G35" i="4" s="1"/>
  <c r="I35" i="4" s="1"/>
  <c r="E36" i="4"/>
  <c r="G36" i="4" s="1"/>
  <c r="I36" i="4" s="1"/>
  <c r="E37" i="4"/>
  <c r="G37" i="4" s="1"/>
  <c r="I37" i="4" s="1"/>
  <c r="E25" i="4"/>
  <c r="E38" i="4"/>
  <c r="G38" i="4" s="1"/>
  <c r="I38" i="4" s="1"/>
  <c r="E40" i="4"/>
  <c r="E13" i="4"/>
  <c r="G13" i="4" s="1"/>
  <c r="I13" i="4" s="1"/>
  <c r="E42" i="4"/>
  <c r="E16" i="4"/>
  <c r="E21" i="4"/>
  <c r="E44" i="4"/>
  <c r="E43" i="4"/>
  <c r="E9" i="4"/>
  <c r="E14" i="4"/>
  <c r="G14" i="4" s="1"/>
  <c r="E23" i="4"/>
  <c r="E26" i="4"/>
  <c r="E19" i="4"/>
  <c r="G17" i="4" s="1"/>
  <c r="I17" i="4" s="1"/>
  <c r="E28" i="4"/>
  <c r="E22" i="4"/>
  <c r="E34" i="4"/>
  <c r="G34" i="4" s="1"/>
  <c r="I34" i="4" s="1"/>
  <c r="E24" i="4"/>
  <c r="E27" i="4"/>
  <c r="E20" i="4"/>
  <c r="G20" i="4" s="1"/>
  <c r="I20" i="4" s="1"/>
  <c r="E33" i="4"/>
  <c r="G33" i="4" s="1"/>
  <c r="I33" i="4" s="1"/>
  <c r="I20" i="3"/>
  <c r="I6" i="3"/>
  <c r="E9" i="3"/>
  <c r="E8" i="3"/>
  <c r="G8" i="3" s="1"/>
  <c r="K268" i="1"/>
  <c r="K269" i="1" s="1"/>
  <c r="L267" i="1"/>
  <c r="D258" i="1"/>
  <c r="L266" i="1"/>
  <c r="D257" i="1"/>
  <c r="L202" i="1"/>
  <c r="D202" i="1" s="1"/>
  <c r="H202" i="1" s="1"/>
  <c r="K203" i="1"/>
  <c r="L162" i="1"/>
  <c r="K165" i="1"/>
  <c r="D218" i="1"/>
  <c r="H218" i="1" s="1"/>
  <c r="D230" i="1"/>
  <c r="H160" i="1"/>
  <c r="H159" i="1" s="1"/>
  <c r="D92" i="1"/>
  <c r="D139" i="1"/>
  <c r="H75" i="1"/>
  <c r="D80" i="1"/>
  <c r="H80" i="1" s="1"/>
  <c r="D146" i="1"/>
  <c r="H146" i="1" s="1"/>
  <c r="D137" i="1"/>
  <c r="D131" i="1"/>
  <c r="D111" i="1"/>
  <c r="H111" i="1" s="1"/>
  <c r="H74" i="1"/>
  <c r="D79" i="1"/>
  <c r="H79" i="1" s="1"/>
  <c r="D148" i="1"/>
  <c r="H148" i="1" s="1"/>
  <c r="H147" i="1" s="1"/>
  <c r="D152" i="1"/>
  <c r="H152" i="1" s="1"/>
  <c r="D130" i="1"/>
  <c r="D123" i="1"/>
  <c r="H123" i="1" s="1"/>
  <c r="D91" i="1"/>
  <c r="D112" i="1"/>
  <c r="H112" i="1" s="1"/>
  <c r="D83" i="1"/>
  <c r="H83" i="1" s="1"/>
  <c r="D138" i="1"/>
  <c r="H73" i="1"/>
  <c r="D145" i="1"/>
  <c r="H145" i="1" s="1"/>
  <c r="H144" i="1" s="1"/>
  <c r="D78" i="1"/>
  <c r="D151" i="1"/>
  <c r="H151" i="1" s="1"/>
  <c r="D110" i="1"/>
  <c r="D82" i="1"/>
  <c r="H82" i="1" s="1"/>
  <c r="H81" i="1" s="1"/>
  <c r="D77" i="1"/>
  <c r="D90" i="1"/>
  <c r="K231" i="1"/>
  <c r="L231" i="1" s="1"/>
  <c r="K233" i="1"/>
  <c r="L233" i="1" s="1"/>
  <c r="D233" i="1" s="1"/>
  <c r="D133" i="1"/>
  <c r="H133" i="1" s="1"/>
  <c r="D122" i="1"/>
  <c r="D129" i="1"/>
  <c r="H129" i="1" s="1"/>
  <c r="D141" i="1"/>
  <c r="H141" i="1" s="1"/>
  <c r="D150" i="1"/>
  <c r="H150" i="1" s="1"/>
  <c r="H149" i="1" s="1"/>
  <c r="H72" i="1"/>
  <c r="H71" i="1" s="1"/>
  <c r="H69" i="1"/>
  <c r="H68" i="1" s="1"/>
  <c r="D246" i="1"/>
  <c r="H41" i="1"/>
  <c r="D253" i="1"/>
  <c r="H253" i="1" s="1"/>
  <c r="D239" i="1"/>
  <c r="H239" i="1" s="1"/>
  <c r="H17" i="1"/>
  <c r="H8" i="1" s="1"/>
  <c r="H6" i="1" s="1"/>
  <c r="G17" i="3"/>
  <c r="I17" i="3" s="1"/>
  <c r="G22" i="3"/>
  <c r="I49" i="4" l="1"/>
  <c r="H49" i="4"/>
  <c r="C39" i="4"/>
  <c r="D39" i="4" s="1"/>
  <c r="G39" i="4" s="1"/>
  <c r="I39" i="4" s="1"/>
  <c r="I14" i="4"/>
  <c r="E257" i="1"/>
  <c r="H257" i="1" s="1"/>
  <c r="E258" i="1"/>
  <c r="H258" i="1" s="1"/>
  <c r="L268" i="1"/>
  <c r="L269" i="1" s="1"/>
  <c r="L203" i="1"/>
  <c r="D203" i="1" s="1"/>
  <c r="H203" i="1" s="1"/>
  <c r="K204" i="1"/>
  <c r="L165" i="1"/>
  <c r="D165" i="1"/>
  <c r="H165" i="1" s="1"/>
  <c r="H164" i="1" s="1"/>
  <c r="H158" i="1" s="1"/>
  <c r="H156" i="1" s="1"/>
  <c r="D269" i="1" s="1"/>
  <c r="H230" i="1"/>
  <c r="D235" i="1"/>
  <c r="H235" i="1" s="1"/>
  <c r="H92" i="1"/>
  <c r="D96" i="1"/>
  <c r="H139" i="1"/>
  <c r="D143" i="1"/>
  <c r="H143" i="1" s="1"/>
  <c r="H137" i="1"/>
  <c r="H131" i="1"/>
  <c r="D135" i="1"/>
  <c r="H135" i="1" s="1"/>
  <c r="H130" i="1"/>
  <c r="H128" i="1" s="1"/>
  <c r="D134" i="1"/>
  <c r="H134" i="1" s="1"/>
  <c r="H132" i="1" s="1"/>
  <c r="H91" i="1"/>
  <c r="D95" i="1"/>
  <c r="H138" i="1"/>
  <c r="D142" i="1"/>
  <c r="H78" i="1"/>
  <c r="D86" i="1"/>
  <c r="H86" i="1" s="1"/>
  <c r="H110" i="1"/>
  <c r="H109" i="1" s="1"/>
  <c r="D120" i="1"/>
  <c r="H120" i="1" s="1"/>
  <c r="H118" i="1" s="1"/>
  <c r="H77" i="1"/>
  <c r="H76" i="1" s="1"/>
  <c r="D85" i="1"/>
  <c r="H90" i="1"/>
  <c r="D94" i="1"/>
  <c r="H233" i="1"/>
  <c r="C8" i="4"/>
  <c r="D8" i="4" s="1"/>
  <c r="G8" i="4" s="1"/>
  <c r="I8" i="4" s="1"/>
  <c r="H122" i="1"/>
  <c r="D126" i="1"/>
  <c r="H126" i="1" s="1"/>
  <c r="D248" i="1"/>
  <c r="H246" i="1"/>
  <c r="C41" i="4"/>
  <c r="D41" i="4" s="1"/>
  <c r="G21" i="4"/>
  <c r="I21" i="4" s="1"/>
  <c r="G23" i="4"/>
  <c r="I23" i="4" s="1"/>
  <c r="G25" i="4"/>
  <c r="I25" i="4" s="1"/>
  <c r="I8" i="3"/>
  <c r="I49" i="3" s="1"/>
  <c r="I51" i="3" s="1"/>
  <c r="G49" i="3"/>
  <c r="D267" i="1"/>
  <c r="I22" i="3"/>
  <c r="C38" i="3"/>
  <c r="D38" i="3" s="1"/>
  <c r="G38" i="3" s="1"/>
  <c r="I38" i="3" s="1"/>
  <c r="L204" i="1" l="1"/>
  <c r="D204" i="1" s="1"/>
  <c r="H204" i="1" s="1"/>
  <c r="K205" i="1"/>
  <c r="H96" i="1"/>
  <c r="D100" i="1"/>
  <c r="H100" i="1" s="1"/>
  <c r="D104" i="1"/>
  <c r="H104" i="1" s="1"/>
  <c r="H95" i="1"/>
  <c r="D99" i="1"/>
  <c r="H99" i="1" s="1"/>
  <c r="D103" i="1"/>
  <c r="H103" i="1" s="1"/>
  <c r="D247" i="1"/>
  <c r="H85" i="1"/>
  <c r="H84" i="1" s="1"/>
  <c r="H94" i="1"/>
  <c r="H93" i="1" s="1"/>
  <c r="D98" i="1"/>
  <c r="D102" i="1"/>
  <c r="H102" i="1" s="1"/>
  <c r="H101" i="1" s="1"/>
  <c r="H248" i="1"/>
  <c r="C43" i="4"/>
  <c r="D43" i="4" s="1"/>
  <c r="H50" i="3"/>
  <c r="I50" i="3"/>
  <c r="H136" i="1"/>
  <c r="H140" i="1"/>
  <c r="H89" i="1"/>
  <c r="H121" i="1"/>
  <c r="H256" i="1"/>
  <c r="H215" i="1"/>
  <c r="D271" i="1" s="1"/>
  <c r="H142" i="1"/>
  <c r="D250" i="1"/>
  <c r="H250" i="1" s="1"/>
  <c r="L205" i="1" l="1"/>
  <c r="D205" i="1" s="1"/>
  <c r="H205" i="1" s="1"/>
  <c r="K206" i="1"/>
  <c r="L206" i="1" s="1"/>
  <c r="D206" i="1" s="1"/>
  <c r="H206" i="1" s="1"/>
  <c r="H200" i="1" s="1"/>
  <c r="H184" i="1" s="1"/>
  <c r="D270" i="1" s="1"/>
  <c r="C42" i="4"/>
  <c r="D42" i="4" s="1"/>
  <c r="H247" i="1"/>
  <c r="D249" i="1"/>
  <c r="H98" i="1"/>
  <c r="H97" i="1" s="1"/>
  <c r="H66" i="1" s="1"/>
  <c r="C45" i="3" l="1"/>
  <c r="D45" i="3" s="1"/>
  <c r="G41" i="3" s="1"/>
  <c r="I41" i="3" s="1"/>
  <c r="C44" i="4"/>
  <c r="D44" i="4" s="1"/>
  <c r="G40" i="4" s="1"/>
  <c r="I40" i="4" s="1"/>
  <c r="H249" i="1"/>
  <c r="H236" i="1" s="1"/>
  <c r="D272" i="1" s="1"/>
  <c r="D268" i="1"/>
  <c r="D255" i="1"/>
  <c r="H255" i="1" s="1"/>
  <c r="H254" i="1" s="1"/>
  <c r="H260" i="1" l="1"/>
  <c r="D273" i="1"/>
  <c r="D274" i="1" s="1"/>
  <c r="D276" i="1" s="1"/>
  <c r="H261" i="1" l="1"/>
  <c r="H262" i="1"/>
  <c r="H263" i="1" s="1"/>
  <c r="H2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suporte</author>
    <author>ATP</author>
  </authors>
  <commentList>
    <comment ref="K6" authorId="0" shapeId="0" xr:uid="{00000000-0006-0000-0200-00000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SPT = Sondagem Mob.Pela distancia 4.1.2 a 4.1.6</t>
        </r>
      </text>
    </comment>
    <comment ref="K7" authorId="0" shapeId="0" xr:uid="{00000000-0006-0000-0200-00000B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da Sondagem por m.</t>
        </r>
      </text>
    </comment>
    <comment ref="J8" authorId="1" shapeId="0" xr:uid="{00000000-0006-0000-0200-000005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Valor minimo = 3.1 a)
1 mil a 10 mil m² = 3.1
 b)
10 mil m²  acima= 3.1
 c)</t>
        </r>
      </text>
    </comment>
    <comment ref="K9" authorId="0" shapeId="0" xr:uid="{00000000-0006-0000-0200-00000C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Planta 5.9.1(infra) e 5.9.2(civil)</t>
        </r>
      </text>
    </comment>
    <comment ref="K10" authorId="0" shapeId="0" xr:uid="{00000000-0006-0000-0200-00000D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 xml:space="preserve">Unificamos os Ensaios realizados no Subleito </t>
        </r>
        <r>
          <rPr>
            <sz val="12"/>
            <color rgb="FF000000"/>
            <rFont val="Segoe UI"/>
            <family val="2"/>
            <charset val="1"/>
          </rPr>
          <t>Ensaios de solo = (4.3.1.2+4.3.1.3+4.3.1.4+4.3.1.5+4.3.1.6)</t>
        </r>
      </text>
    </comment>
    <comment ref="K11" authorId="0" shapeId="0" xr:uid="{00000000-0006-0000-0200-00000E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por amostra, Porém varia pela distância = 4.4.2 a 4.2.6</t>
        </r>
      </text>
    </comment>
    <comment ref="K13" authorId="0" shapeId="0" xr:uid="{00000000-0006-0000-0200-00000F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Tipos de Cadastro San de 1.38 a 1.43.</t>
        </r>
      </text>
    </comment>
    <comment ref="E14" authorId="0" shapeId="0" xr:uid="{00000000-0006-0000-0200-000001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Estimado pelo tipo de obra.</t>
        </r>
      </text>
    </comment>
    <comment ref="K14" authorId="0" shapeId="0" xr:uid="{00000000-0006-0000-0200-00001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Edificações de 2.48, 2.49 e 2.52</t>
        </r>
      </text>
    </comment>
    <comment ref="K15" authorId="0" shapeId="0" xr:uid="{00000000-0006-0000-0200-00001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Iluminações de 2.50 a 2.51</t>
        </r>
      </text>
    </comment>
    <comment ref="K16" authorId="0" shapeId="0" xr:uid="{00000000-0006-0000-0200-00001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Rede Eletrica de 3.1.6.1  a 3.1.6.4.</t>
        </r>
      </text>
    </comment>
    <comment ref="K17" authorId="0" shapeId="0" xr:uid="{00000000-0006-0000-0200-00001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Gerador 2.53</t>
        </r>
      </text>
    </comment>
    <comment ref="K18" authorId="0" shapeId="0" xr:uid="{00000000-0006-0000-0200-00001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Subestação 2.54</t>
        </r>
      </text>
    </comment>
    <comment ref="K19" authorId="0" shapeId="0" xr:uid="{00000000-0006-0000-0200-00001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Rede Eletrica e Alimentador de Energia 3.2.6.1.</t>
        </r>
      </text>
    </comment>
    <comment ref="K20" authorId="0" shapeId="0" xr:uid="{00000000-0006-0000-0200-00001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 und. Minima. Ou 3.1.1.1 por m² p/ até 14 mil m².</t>
        </r>
      </text>
    </comment>
    <comment ref="K21" authorId="0" shapeId="0" xr:uid="{00000000-0006-0000-0200-00001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 und. Minima. Ou 3.1.1.1 por m² p/ até 14 mil m².</t>
        </r>
      </text>
    </comment>
    <comment ref="K22" authorId="0" shapeId="0" xr:uid="{00000000-0006-0000-0200-00001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3.1.2.1 a 3.1.2.4</t>
        </r>
      </text>
    </comment>
    <comment ref="K23" authorId="0" shapeId="0" xr:uid="{00000000-0006-0000-0200-000019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3.2.2.</t>
        </r>
      </text>
    </comment>
    <comment ref="K24" authorId="0" shapeId="0" xr:uid="{00000000-0006-0000-0200-00001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Simples 3.1.3.1.1 a 3.1.3.1.4.</t>
        </r>
      </text>
    </comment>
    <comment ref="K25" authorId="0" shapeId="0" xr:uid="{00000000-0006-0000-0200-00001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Complexa 3.1.3.2.1 a 3.1.3.2.4.</t>
        </r>
      </text>
    </comment>
    <comment ref="K26" authorId="0" shapeId="0" xr:uid="{00000000-0006-0000-0200-00001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Simples  3.2.3.1</t>
        </r>
      </text>
    </comment>
    <comment ref="K27" authorId="0" shapeId="0" xr:uid="{00000000-0006-0000-0200-00001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Complexas  3.2.3.2</t>
        </r>
      </text>
    </comment>
    <comment ref="F28" authorId="1" shapeId="0" xr:uid="{00000000-0006-0000-0200-000002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m² ou m ou km</t>
        </r>
      </text>
    </comment>
    <comment ref="J28" authorId="1" shapeId="0" xr:uid="{00000000-0006-0000-0200-000006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6.1 a) = Estrutural de Fundações Profundas</t>
        </r>
      </text>
    </comment>
    <comment ref="K28" authorId="0" shapeId="0" xr:uid="{00000000-0006-0000-0200-00001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Fundação  Superficial e produnda de 2.1 e 2.2.</t>
        </r>
      </text>
    </comment>
    <comment ref="F29" authorId="1" shapeId="0" xr:uid="{00000000-0006-0000-0200-000003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m² ou m ou km</t>
        </r>
      </text>
    </comment>
    <comment ref="J29" authorId="1" shapeId="0" xr:uid="{00000000-0006-0000-0200-000007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6.2 a) = Estrutural em Concreto Armado (Superestrutura)</t>
        </r>
      </text>
    </comment>
    <comment ref="K29" authorId="0" shapeId="0" xr:uid="{00000000-0006-0000-0200-00001F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Obras de Pontes Usamos o Valor maior por m² o do item 2.6</t>
        </r>
      </text>
    </comment>
    <comment ref="F30" authorId="1" shapeId="0" xr:uid="{00000000-0006-0000-0200-000004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m² ou m ou km</t>
        </r>
      </text>
    </comment>
    <comment ref="J30" authorId="1" shapeId="0" xr:uid="{00000000-0006-0000-0200-000008000000}">
      <text>
        <r>
          <rPr>
            <sz val="10"/>
            <rFont val="Arial"/>
            <family val="2"/>
          </rPr>
          <t xml:space="preserve">ATP:
</t>
        </r>
        <r>
          <rPr>
            <sz val="9"/>
            <color rgb="FF000000"/>
            <rFont val="Segoe UI"/>
            <family val="2"/>
            <charset val="1"/>
          </rPr>
          <t>6.3 d) = Estrutural Metálico</t>
        </r>
      </text>
    </comment>
    <comment ref="K30" authorId="0" shapeId="0" xr:uid="{00000000-0006-0000-0200-00002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CONTENÇÃO - Obras de Urbanizações, Estacionamentos e Edificações ou Vias de acessos 3.1.7.1 a 3.1.7.3. pela altura da Contenção.</t>
        </r>
      </text>
    </comment>
    <comment ref="K31" authorId="0" shapeId="0" xr:uid="{00000000-0006-0000-0200-00002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CANAL - Obras de Vias de acessos 3.2.7.</t>
        </r>
      </text>
    </comment>
    <comment ref="K32" authorId="0" shapeId="0" xr:uid="{00000000-0006-0000-0200-00002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3.2.8</t>
        </r>
      </text>
    </comment>
    <comment ref="K33" authorId="0" shapeId="0" xr:uid="{00000000-0006-0000-0200-00002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3.2.9</t>
        </r>
      </text>
    </comment>
    <comment ref="K34" authorId="0" shapeId="0" xr:uid="{00000000-0006-0000-0200-00002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1.37</t>
        </r>
      </text>
    </comment>
    <comment ref="K35" authorId="0" shapeId="0" xr:uid="{00000000-0006-0000-0200-00002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Abastecimento de água: 3.1.4.1 a 3.1.4.4</t>
        </r>
      </text>
    </comment>
    <comment ref="K36" authorId="0" shapeId="0" xr:uid="{00000000-0006-0000-0200-00002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3.1.5.1.1 a 3.1.5.1.3</t>
        </r>
      </text>
    </comment>
    <comment ref="K37" authorId="0" shapeId="0" xr:uid="{00000000-0006-0000-0200-00002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3.1.5.2.1 a 3.1.5.2.4.</t>
        </r>
      </text>
    </comment>
    <comment ref="J38" authorId="0" shapeId="0" xr:uid="{00000000-0006-0000-0200-000009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15% Máximo de valor total do Projeto</t>
        </r>
      </text>
    </comment>
    <comment ref="K41" authorId="0" shapeId="0" xr:uid="{00000000-0006-0000-0200-00002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Arquitetura, Edificações por tipologias: 6.1 a 6.7.
</t>
        </r>
      </text>
    </comment>
    <comment ref="K42" authorId="0" shapeId="0" xr:uid="{00000000-0006-0000-0200-000029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Fundação: 6.8
</t>
        </r>
      </text>
    </comment>
    <comment ref="K43" authorId="0" shapeId="0" xr:uid="{00000000-0006-0000-0200-00002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Estrutural: 6.9
</t>
        </r>
      </text>
    </comment>
    <comment ref="K44" authorId="0" shapeId="0" xr:uid="{00000000-0006-0000-0200-00002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Eletrica: 6.10
</t>
        </r>
      </text>
    </comment>
    <comment ref="K45" authorId="0" shapeId="0" xr:uid="{00000000-0006-0000-0200-00002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Hidráulico, Sanitário, Drenagem, Incêndio, Gás: 6.11
</t>
        </r>
      </text>
    </comment>
    <comment ref="K46" authorId="0" shapeId="0" xr:uid="{00000000-0006-0000-0200-00002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Sonorização, CFTV , Climatização , Gases
Medicinais, Chamada de Enfermeira: 6.12
</t>
        </r>
      </text>
    </comment>
    <comment ref="K47" authorId="0" shapeId="0" xr:uid="{00000000-0006-0000-0200-00002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Infra: 6.13 a 6.15.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suporte</author>
  </authors>
  <commentList>
    <comment ref="K6" authorId="0" shapeId="0" xr:uid="{00000000-0006-0000-0300-00000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SPT = Sondagem Mob.Pela distancia 4.1.2 a 4.1.6</t>
        </r>
      </text>
    </comment>
    <comment ref="K7" authorId="0" shapeId="0" xr:uid="{00000000-0006-0000-0300-000004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da Sondagem por m.</t>
        </r>
      </text>
    </comment>
    <comment ref="K9" authorId="0" shapeId="0" xr:uid="{00000000-0006-0000-0300-000005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Planta 5.9.1(infra) e 5.9.2(civil)</t>
        </r>
      </text>
    </comment>
    <comment ref="K10" authorId="0" shapeId="0" xr:uid="{00000000-0006-0000-0300-000006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 xml:space="preserve">Unificamos os Ensaios realizados no Subleito </t>
        </r>
        <r>
          <rPr>
            <sz val="12"/>
            <color rgb="FF000000"/>
            <rFont val="Segoe UI"/>
            <family val="2"/>
            <charset val="1"/>
          </rPr>
          <t>Ensaios de solo = (4.3.1.2+4.3.1.3+4.3.1.4+4.3.1.5+4.3.1.6)</t>
        </r>
      </text>
    </comment>
    <comment ref="K11" authorId="0" shapeId="0" xr:uid="{00000000-0006-0000-0300-000007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Valor por amostra, Porém varia pela distância = 4.4.2 a 4.2.6</t>
        </r>
      </text>
    </comment>
    <comment ref="K13" authorId="0" shapeId="0" xr:uid="{00000000-0006-0000-0300-000008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Tipos de Cadastro San de 1.38 a 1.43.</t>
        </r>
      </text>
    </comment>
    <comment ref="E14" authorId="0" shapeId="0" xr:uid="{00000000-0006-0000-0300-000001000000}">
      <text>
        <r>
          <rPr>
            <sz val="10"/>
            <rFont val="Arial"/>
            <family val="2"/>
          </rPr>
          <t xml:space="preserve">suporte:
</t>
        </r>
        <r>
          <rPr>
            <sz val="9"/>
            <color rgb="FF000000"/>
            <rFont val="Segoe UI"/>
            <family val="2"/>
            <charset val="1"/>
          </rPr>
          <t>Estimado pelo tipo de obra.</t>
        </r>
      </text>
    </comment>
    <comment ref="K14" authorId="0" shapeId="0" xr:uid="{00000000-0006-0000-0300-000009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Edificações de 2.48, 2.49 e 2.52</t>
        </r>
      </text>
    </comment>
    <comment ref="K15" authorId="0" shapeId="0" xr:uid="{00000000-0006-0000-0300-00000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Iluminações de 2.50 a 2.51</t>
        </r>
      </text>
    </comment>
    <comment ref="K16" authorId="0" shapeId="0" xr:uid="{00000000-0006-0000-0300-00000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Rede Eletrica de 3.1.6.1  a 3.1.6.4.</t>
        </r>
      </text>
    </comment>
    <comment ref="K17" authorId="0" shapeId="0" xr:uid="{00000000-0006-0000-0300-00000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Gerador 2.53</t>
        </r>
      </text>
    </comment>
    <comment ref="K18" authorId="0" shapeId="0" xr:uid="{00000000-0006-0000-0300-00000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Subestação 2.54</t>
        </r>
      </text>
    </comment>
    <comment ref="K19" authorId="0" shapeId="0" xr:uid="{00000000-0006-0000-0300-00000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Rede Eletrica e Alimentador de Energia 3.2.6.1.</t>
        </r>
      </text>
    </comment>
    <comment ref="K20" authorId="0" shapeId="0" xr:uid="{00000000-0006-0000-0300-00000F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</t>
        </r>
      </text>
    </comment>
    <comment ref="K21" authorId="0" shapeId="0" xr:uid="{00000000-0006-0000-0300-00001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3.1.1.1 a 3.1.1.4</t>
        </r>
      </text>
    </comment>
    <comment ref="K22" authorId="0" shapeId="0" xr:uid="{00000000-0006-0000-0300-00001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3.2.1</t>
        </r>
      </text>
    </comment>
    <comment ref="K23" authorId="0" shapeId="0" xr:uid="{00000000-0006-0000-0300-00001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3.1.2.1 a 3.1.2.4</t>
        </r>
      </text>
    </comment>
    <comment ref="K24" authorId="0" shapeId="0" xr:uid="{00000000-0006-0000-0300-00001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3.2.2.</t>
        </r>
      </text>
    </comment>
    <comment ref="K25" authorId="0" shapeId="0" xr:uid="{00000000-0006-0000-0300-00001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Simples 3.1.3.1.1 a 3.1.3.1.4.</t>
        </r>
      </text>
    </comment>
    <comment ref="K26" authorId="0" shapeId="0" xr:uid="{00000000-0006-0000-0300-00001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 e Edificações Drenagem Complexa 3.1.3.2.1 a 3.1.3.2.4.</t>
        </r>
      </text>
    </comment>
    <comment ref="K27" authorId="0" shapeId="0" xr:uid="{00000000-0006-0000-0300-00001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Simples  3.2.3.1</t>
        </r>
      </text>
    </comment>
    <comment ref="K28" authorId="0" shapeId="0" xr:uid="{00000000-0006-0000-0300-00001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 Drenagem Complexa  3.2.3.2.</t>
        </r>
      </text>
    </comment>
    <comment ref="K29" authorId="0" shapeId="0" xr:uid="{00000000-0006-0000-0300-00001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Tipos de Fundação  Superficial e produnda de 2.1 e 2.2.</t>
        </r>
      </text>
    </comment>
    <comment ref="K30" authorId="0" shapeId="0" xr:uid="{00000000-0006-0000-0300-000019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Obras de Pontes Usamos o Valor maior por m² o do item 2.6</t>
        </r>
      </text>
    </comment>
    <comment ref="K31" authorId="0" shapeId="0" xr:uid="{00000000-0006-0000-0300-00001A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CONTENÇÃO - Obras de Urbanizações, Estacionamentos e Edificações ou Vias de acessos 3.1.7.1 a 3.1.7.3. pela altura da Contenção.</t>
        </r>
      </text>
    </comment>
    <comment ref="K32" authorId="0" shapeId="0" xr:uid="{00000000-0006-0000-0300-00001B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CANAL - Obras de Vias de acessos 3.2.7.</t>
        </r>
      </text>
    </comment>
    <comment ref="K33" authorId="0" shapeId="0" xr:uid="{00000000-0006-0000-0300-00001C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3.2.8</t>
        </r>
      </text>
    </comment>
    <comment ref="K34" authorId="0" shapeId="0" xr:uid="{00000000-0006-0000-0300-00001D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3.2.9</t>
        </r>
      </text>
    </comment>
    <comment ref="K35" authorId="0" shapeId="0" xr:uid="{00000000-0006-0000-0300-00001E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Ruas e Vias de Acessos 1.37</t>
        </r>
      </text>
    </comment>
    <comment ref="K36" authorId="0" shapeId="0" xr:uid="{00000000-0006-0000-0300-00001F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Abastecimento de água: 3.1.4.1 a 3.1.4.4</t>
        </r>
      </text>
    </comment>
    <comment ref="K37" authorId="0" shapeId="0" xr:uid="{00000000-0006-0000-0300-000020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3.1.5.1.1 a 3.1.5.1.3</t>
        </r>
      </text>
    </comment>
    <comment ref="K38" authorId="0" shapeId="0" xr:uid="{00000000-0006-0000-0300-000021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Urbanizações, Estacionamentos, Edificações e Vias:
Esgotamento Sanitário: 3.1.5.2.1 a 3.1.5.2.4.</t>
        </r>
      </text>
    </comment>
    <comment ref="J39" authorId="0" shapeId="0" xr:uid="{00000000-0006-0000-0300-000002000000}">
      <text>
        <r>
          <rPr>
            <sz val="10"/>
            <rFont val="Arial"/>
            <family val="2"/>
          </rPr>
          <t xml:space="preserve">suporte:
</t>
        </r>
        <r>
          <rPr>
            <sz val="14"/>
            <color rgb="FF000000"/>
            <rFont val="Segoe UI"/>
            <family val="2"/>
            <charset val="1"/>
          </rPr>
          <t>15% Máximo de valor total do Projeto</t>
        </r>
      </text>
    </comment>
    <comment ref="K40" authorId="0" shapeId="0" xr:uid="{00000000-0006-0000-0300-000022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Arquitetura, Edificações por tipologias: 6.1 a 6.7.
</t>
        </r>
      </text>
    </comment>
    <comment ref="K41" authorId="0" shapeId="0" xr:uid="{00000000-0006-0000-0300-000023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Fundação: 6.8
</t>
        </r>
      </text>
    </comment>
    <comment ref="K42" authorId="0" shapeId="0" xr:uid="{00000000-0006-0000-0300-000024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Estrutural: 6.9
</t>
        </r>
      </text>
    </comment>
    <comment ref="K43" authorId="0" shapeId="0" xr:uid="{00000000-0006-0000-0300-000025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Eletrica: 6.10
</t>
        </r>
      </text>
    </comment>
    <comment ref="K44" authorId="0" shapeId="0" xr:uid="{00000000-0006-0000-0300-000026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Hidráulico, Sanitário, Drenagem, Incêndio, Gás: 6.11
</t>
        </r>
      </text>
    </comment>
    <comment ref="K45" authorId="0" shapeId="0" xr:uid="{00000000-0006-0000-0300-000027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 xml:space="preserve">Orçamento de Sonorização, CFTV , Climatização , Gases
Medicinais, Chamada de Enfermeira: 6.12
</t>
        </r>
      </text>
    </comment>
    <comment ref="K46" authorId="0" shapeId="0" xr:uid="{00000000-0006-0000-0300-000028000000}">
      <text>
        <r>
          <rPr>
            <sz val="10"/>
            <rFont val="Arial"/>
            <family val="2"/>
          </rPr>
          <t xml:space="preserve">suporte:
</t>
        </r>
        <r>
          <rPr>
            <sz val="12"/>
            <color rgb="FF000000"/>
            <rFont val="Segoe UI"/>
            <family val="2"/>
            <charset val="1"/>
          </rPr>
          <t>Obras de Infra: 6.13 a 6.15.</t>
        </r>
      </text>
    </comment>
  </commentList>
</comments>
</file>

<file path=xl/sharedStrings.xml><?xml version="1.0" encoding="utf-8"?>
<sst xmlns="http://schemas.openxmlformats.org/spreadsheetml/2006/main" count="1648" uniqueCount="873">
  <si>
    <t>TABELA DE HONORÁRIOS DE PROJETOS / CONSULTORIAS / SERVIÇOS DE ENGENHARIA</t>
  </si>
  <si>
    <t>CEHOP - REFERÊNCIA ANO 01/2026</t>
  </si>
  <si>
    <t>https://cehop.se.gov.br/tabelas-de-honorarios/</t>
  </si>
  <si>
    <t>ITEM</t>
  </si>
  <si>
    <t>CÓDIGO DO SERVIÇO</t>
  </si>
  <si>
    <t>DESCRIÇÃO DO SERVIÇO</t>
  </si>
  <si>
    <t>QUANTIDADES</t>
  </si>
  <si>
    <t>CUSTO UNITÁRIO (R$/m2)</t>
  </si>
  <si>
    <t>UNIDADE DE MEDIDA</t>
  </si>
  <si>
    <t>FONTE</t>
  </si>
  <si>
    <t>CUSTO TOTAL (R$)</t>
  </si>
  <si>
    <t>OBSERVAÇÃO</t>
  </si>
  <si>
    <t>PROJETO DE ARQUITETURA E URBANISMO</t>
  </si>
  <si>
    <t>O custo dos projetos é o resultado da aplicação dos valores sobre a metrage, quadrada da edificação ou por unidade quando for o caso, incluído lucro, impostos, encargos, plotagem e encadernações.</t>
  </si>
  <si>
    <t>1.1</t>
  </si>
  <si>
    <t>VALOR MÍNIMO DE PROJETOS</t>
  </si>
  <si>
    <t>UN</t>
  </si>
  <si>
    <t>CEHOP</t>
  </si>
  <si>
    <t>Projeto de Arquitetura</t>
  </si>
  <si>
    <t>1.2</t>
  </si>
  <si>
    <t>Edificíos Administrativos - Cadastro</t>
  </si>
  <si>
    <t>M2</t>
  </si>
  <si>
    <t>1.3</t>
  </si>
  <si>
    <t>Edificíos Administrativos - Novo</t>
  </si>
  <si>
    <t>1.4</t>
  </si>
  <si>
    <t>Edificíos Administrativos - Reforma</t>
  </si>
  <si>
    <t>1.5</t>
  </si>
  <si>
    <t>Edificíos Educacionais - Cadastro</t>
  </si>
  <si>
    <t>1.6</t>
  </si>
  <si>
    <t>Edificíos Educacionais - Novo</t>
  </si>
  <si>
    <t>1.7</t>
  </si>
  <si>
    <t>Edificíos Educacionais - Reforma</t>
  </si>
  <si>
    <t>1.8</t>
  </si>
  <si>
    <t>Edifícios Esportivos - Cadastro</t>
  </si>
  <si>
    <t>1.9</t>
  </si>
  <si>
    <t>Edifícios Esportivos - Novo</t>
  </si>
  <si>
    <t>1.10</t>
  </si>
  <si>
    <t>Edifícios Esportivos - Reforma</t>
  </si>
  <si>
    <t>1.11</t>
  </si>
  <si>
    <t>Quadras de Esporte - Cadastro</t>
  </si>
  <si>
    <t>1.12</t>
  </si>
  <si>
    <t>Quadras de Esporte - Novo</t>
  </si>
  <si>
    <t>1.13</t>
  </si>
  <si>
    <t>Quadras de Esporte - Reforma</t>
  </si>
  <si>
    <t>1.14</t>
  </si>
  <si>
    <t>Edifícios Hospitalares e de Saúde - Cadastro</t>
  </si>
  <si>
    <t>1.15</t>
  </si>
  <si>
    <t>Edifícios Hospitalares e de Saúde - Novo</t>
  </si>
  <si>
    <t>1.16</t>
  </si>
  <si>
    <t>Edifícios Hospitalares e de Saúde - Reforma</t>
  </si>
  <si>
    <t>1.17</t>
  </si>
  <si>
    <t>Prédios Industriais e Galpões - Cadastro</t>
  </si>
  <si>
    <t>1.18</t>
  </si>
  <si>
    <t>Prédios Industriais e Galpões - Novo</t>
  </si>
  <si>
    <t>1.19</t>
  </si>
  <si>
    <t>Prédios Industriais e Galpões - Reforma</t>
  </si>
  <si>
    <t>1.20</t>
  </si>
  <si>
    <t>Edificações de Segurança Pública - Cadastro</t>
  </si>
  <si>
    <t>1.21</t>
  </si>
  <si>
    <t>Edificações de Segurança Pública - Novo</t>
  </si>
  <si>
    <t>1.22</t>
  </si>
  <si>
    <t>Edificações de Segurança Pública - Reforma</t>
  </si>
  <si>
    <t>1.23</t>
  </si>
  <si>
    <t>Penitenciárias e Presídios - Cadastro</t>
  </si>
  <si>
    <t>1.24</t>
  </si>
  <si>
    <t>Penitenciárias e Presídios  - Novo</t>
  </si>
  <si>
    <t>1.25</t>
  </si>
  <si>
    <t>Penitenciárias e Presídios  - Reforma</t>
  </si>
  <si>
    <t>1.26</t>
  </si>
  <si>
    <t>Teatros e Auditórios  - Cadastro</t>
  </si>
  <si>
    <t>1.27</t>
  </si>
  <si>
    <t>Teatros e Auditórios - Novo</t>
  </si>
  <si>
    <t>1.28</t>
  </si>
  <si>
    <t>Teatros e Auditórios - Reforma</t>
  </si>
  <si>
    <t>1.29</t>
  </si>
  <si>
    <t>Centro de Convenções - Cadastro</t>
  </si>
  <si>
    <t>1.30</t>
  </si>
  <si>
    <t>Centro de Convenções - Novo</t>
  </si>
  <si>
    <t>1.31</t>
  </si>
  <si>
    <t>Centro de Convenções - Reforma</t>
  </si>
  <si>
    <t>1.32</t>
  </si>
  <si>
    <t>Parques e Praças - Cadastro</t>
  </si>
  <si>
    <t>1.33</t>
  </si>
  <si>
    <t>Parques e Praças  - Novo</t>
  </si>
  <si>
    <t>1.34</t>
  </si>
  <si>
    <t>Parques e Praças  - Reforma</t>
  </si>
  <si>
    <t>1.35</t>
  </si>
  <si>
    <t>Restaurações de Edif. Tombadas - Cadastro</t>
  </si>
  <si>
    <t>1.36</t>
  </si>
  <si>
    <t>Restaurações de Edif. Tombadas - Reforma</t>
  </si>
  <si>
    <t>1.37</t>
  </si>
  <si>
    <t>Acessibilidade - Reforma</t>
  </si>
  <si>
    <t>Levantamento Cadastral - Cadastro com Laser Scan</t>
  </si>
  <si>
    <t>1.41</t>
  </si>
  <si>
    <t>Em 2D (CAD) - tour 360º, com instalações</t>
  </si>
  <si>
    <t>1.43</t>
  </si>
  <si>
    <t>Em BIM - tour 360º, com instalações e quantitativos de materiais</t>
  </si>
  <si>
    <t>Unidades residenciais</t>
  </si>
  <si>
    <t>1.44</t>
  </si>
  <si>
    <t>Residências com ou sem repetições</t>
  </si>
  <si>
    <t>Urbanização</t>
  </si>
  <si>
    <t>Praças, Quadras, parques aquáticos, calçadões, cemitérios, áreas livres para recreação, feiras e exposições, parques, estacionamentos, camping, terminais de transporte, conjuntos habitacionais, empreendimentos turísticos, etc.</t>
  </si>
  <si>
    <t>1.45</t>
  </si>
  <si>
    <t>De 0 a 2.000,00 m²</t>
  </si>
  <si>
    <t>1.46</t>
  </si>
  <si>
    <t>2.000,01 m² a 5.000,00 m²</t>
  </si>
  <si>
    <t>1.47</t>
  </si>
  <si>
    <t>5.000,01 m² a 10.000,00 m²</t>
  </si>
  <si>
    <t>1.48</t>
  </si>
  <si>
    <t>10.000,01 m² a 20.000,00 m²</t>
  </si>
  <si>
    <t>1.49</t>
  </si>
  <si>
    <t>20.000,01 m² a 30.000,00 m²</t>
  </si>
  <si>
    <t>1.50</t>
  </si>
  <si>
    <t>30.000,01 m² a 40.000,00 m²</t>
  </si>
  <si>
    <t>1.51</t>
  </si>
  <si>
    <t>Acima de 40.000,00 m²</t>
  </si>
  <si>
    <t>Paisagismo</t>
  </si>
  <si>
    <t>1.52</t>
  </si>
  <si>
    <t>1.53</t>
  </si>
  <si>
    <t>1.54</t>
  </si>
  <si>
    <t>1.55</t>
  </si>
  <si>
    <t>1.56</t>
  </si>
  <si>
    <t>1.57</t>
  </si>
  <si>
    <t>1.58</t>
  </si>
  <si>
    <t>PROJETOS EXECUTIVOS DE ENGENHARIA</t>
  </si>
  <si>
    <t>Fundações</t>
  </si>
  <si>
    <t>O cálculo da área equivale ao m2 de projeção da construção;</t>
  </si>
  <si>
    <t>2.1</t>
  </si>
  <si>
    <t>Superfíciais</t>
  </si>
  <si>
    <t>Blocos, sapatas isoladas e corridas, vigas, grelhas, radier etc; 50%</t>
  </si>
  <si>
    <t>2.2</t>
  </si>
  <si>
    <t>Profundas</t>
  </si>
  <si>
    <t>Tubulões, estacas etc., com reforço do solo e soluções complexas.50%</t>
  </si>
  <si>
    <t>Projeto de Estrutura de Concreto Armado</t>
  </si>
  <si>
    <t>O cálculo da área equivale à área construída.</t>
  </si>
  <si>
    <t>2.3</t>
  </si>
  <si>
    <t>Edificações em Geral</t>
  </si>
  <si>
    <t>Como os valores são equivalentes, pode ser medidos quando acabar o saldo.</t>
  </si>
  <si>
    <t>2.4</t>
  </si>
  <si>
    <t>Edifícios Hospitalares e de Saúde</t>
  </si>
  <si>
    <t>2.5</t>
  </si>
  <si>
    <t>Penitenciárias e Presídios</t>
  </si>
  <si>
    <t>2.6</t>
  </si>
  <si>
    <t>Teatros, Auditórios, Centros de Convenções</t>
  </si>
  <si>
    <t>Projeto de Estrutura Metálica / Madeira - Simples</t>
  </si>
  <si>
    <t>Simples: cálculo da área de projeção (cobertura, marquise, etc);</t>
  </si>
  <si>
    <t>2.7</t>
  </si>
  <si>
    <t>2.8</t>
  </si>
  <si>
    <t>2.9</t>
  </si>
  <si>
    <t>2.10</t>
  </si>
  <si>
    <t>Projeto de Estrutura Metálica / Madeira - Completa</t>
  </si>
  <si>
    <t>Completa (toda a edificação, pilares, vigas e cobertura): o cálculo da área equivale à área construída;</t>
  </si>
  <si>
    <t>2.11</t>
  </si>
  <si>
    <t>2.12</t>
  </si>
  <si>
    <t>Projeto de Estrutura Metálica / Madeira - Espacial</t>
  </si>
  <si>
    <t>Espacial: o cálculo da área de projeção.</t>
  </si>
  <si>
    <t>2.15</t>
  </si>
  <si>
    <t>2.16</t>
  </si>
  <si>
    <t>Recuperação Estrutural</t>
  </si>
  <si>
    <t>O cálculo da área baseado na área trabalhada.</t>
  </si>
  <si>
    <t>2.19</t>
  </si>
  <si>
    <t>Recuperação Estrutural com reforço</t>
  </si>
  <si>
    <t>Projeto Hidráulico</t>
  </si>
  <si>
    <t>O cálculo da área equivale à área construída. Água quente incluído no preço do projeto hidráulico.</t>
  </si>
  <si>
    <t>2.20</t>
  </si>
  <si>
    <t>Item 2.3</t>
  </si>
  <si>
    <t>2.21</t>
  </si>
  <si>
    <t>Item 2.4</t>
  </si>
  <si>
    <t>2.23</t>
  </si>
  <si>
    <t>Item 2.6</t>
  </si>
  <si>
    <t>Projeto Esgoto sanitário</t>
  </si>
  <si>
    <t>Projeto de esgoto sanitário com tratamento simples (fossa e filtro, sumidouro ou Dafa): O cálculo da área equivale à área construída. Se houver ligação direta à rede de esgotos, apresentar carta de viabilidade da Deso e certificado de dispensa de licenciamento</t>
  </si>
  <si>
    <t>2.24</t>
  </si>
  <si>
    <t>2.25</t>
  </si>
  <si>
    <t>2.27</t>
  </si>
  <si>
    <t>Projeto Drenagem Pluvial - Simples</t>
  </si>
  <si>
    <t>O cálculo da área equivale à área de cobertura, incluindo a drenagem da climatização.</t>
  </si>
  <si>
    <t>2.28</t>
  </si>
  <si>
    <t>2.29</t>
  </si>
  <si>
    <t>2.31</t>
  </si>
  <si>
    <t>Projeto Drenagem Pluvial - Reuso</t>
  </si>
  <si>
    <t>2.32</t>
  </si>
  <si>
    <t>2.33</t>
  </si>
  <si>
    <t>2.35</t>
  </si>
  <si>
    <t>Projeto Irrigação</t>
  </si>
  <si>
    <t>O cálculo é baseado na área irrigada.</t>
  </si>
  <si>
    <t>2.36</t>
  </si>
  <si>
    <t>Área verde  jardins</t>
  </si>
  <si>
    <t>Paisagismo 30%</t>
  </si>
  <si>
    <t>2.37</t>
  </si>
  <si>
    <t>CampoCBF</t>
  </si>
  <si>
    <t>Um campo de futebol oficial, seguindo os padrões da CBF, tem dimensões de 105 metros de comprimento por 68 metros de largura, o que resulta em uma área de 7.140 metros quadrados x 5 campos(Estimado)</t>
  </si>
  <si>
    <t>2.38</t>
  </si>
  <si>
    <t>CampoFlFA</t>
  </si>
  <si>
    <t>A FIFA estabelece dimensões máximas de 120 metros de comprimento por 90 metros de largura, resultando em uma área de até 10.800 m² x 5 campos(Estimado)</t>
  </si>
  <si>
    <t>Projeto de Prevenção e Combate a Incêndio e Pânico</t>
  </si>
  <si>
    <t xml:space="preserve"> O cálculo da área equivale à área construída. Aprovado no Corpo de Bombeiros.</t>
  </si>
  <si>
    <t>2.39</t>
  </si>
  <si>
    <t>Extintor</t>
  </si>
  <si>
    <t>2.40</t>
  </si>
  <si>
    <t>Extintor + hidrante</t>
  </si>
  <si>
    <t>2.41</t>
  </si>
  <si>
    <t>Edificios Ho talares e de Saúde</t>
  </si>
  <si>
    <t>Projeto de GLP (gás liquefeito de petróleo) ou GN (gás natural):</t>
  </si>
  <si>
    <t>2.42</t>
  </si>
  <si>
    <t>Por unidade</t>
  </si>
  <si>
    <t>UND</t>
  </si>
  <si>
    <t>Estimativa por demanda</t>
  </si>
  <si>
    <t>2.43</t>
  </si>
  <si>
    <t>Até 10 pontos</t>
  </si>
  <si>
    <t>2.44</t>
  </si>
  <si>
    <t>De 11 a 30 pontos</t>
  </si>
  <si>
    <t>2.45</t>
  </si>
  <si>
    <t>Acima de 31 pontos</t>
  </si>
  <si>
    <t>Projeto SPDA</t>
  </si>
  <si>
    <t>2.46</t>
  </si>
  <si>
    <t>Relatório de análise do risco de exposição</t>
  </si>
  <si>
    <t>Relatório de análise do risco de exposição: O preço do relatório é por unidade. Aprovado no Corpo de Bombeiros ;</t>
  </si>
  <si>
    <t>2.47</t>
  </si>
  <si>
    <t>SPDA</t>
  </si>
  <si>
    <t>Projeto de Sistema de Proteção contra Descargas Atmosféricas (SPDA): O cálculo da área equivale à área de cobertura. 50 % dos projetos serão maiores que 800 m²</t>
  </si>
  <si>
    <t>Projeto Elétrico</t>
  </si>
  <si>
    <t>O cálculo da área equivale à área construída;</t>
  </si>
  <si>
    <t>2.48</t>
  </si>
  <si>
    <t>2.49</t>
  </si>
  <si>
    <t>2.50</t>
  </si>
  <si>
    <t>Iluminação de área externa</t>
  </si>
  <si>
    <t>Consideramos 50% da área de urbanização</t>
  </si>
  <si>
    <t>2.51</t>
  </si>
  <si>
    <t>Iluminação artística (Luminotécnica)</t>
  </si>
  <si>
    <t>Consideramos 2% da área de urbanização</t>
  </si>
  <si>
    <t>2.52</t>
  </si>
  <si>
    <t>Sistema de detecção de alarme de incêndio</t>
  </si>
  <si>
    <t>Consideramos 30% da área de edificação</t>
  </si>
  <si>
    <t>2.54</t>
  </si>
  <si>
    <t>Subestação</t>
  </si>
  <si>
    <t>Projeto de Cabeamento Estruturado (voz, dados e antena coletiva)</t>
  </si>
  <si>
    <t>O cálculo da área equivale à área construída. Inclui a especificação dos equipamentos e/ou detalhamentos;</t>
  </si>
  <si>
    <t>2.55</t>
  </si>
  <si>
    <t>2.56</t>
  </si>
  <si>
    <t>2.57</t>
  </si>
  <si>
    <t>Item 2.5</t>
  </si>
  <si>
    <t>Projeto de Circuito Fechado de TV - CFTV</t>
  </si>
  <si>
    <t>2.58</t>
  </si>
  <si>
    <t>Consideramos 20% da área de edificação</t>
  </si>
  <si>
    <t>2.59</t>
  </si>
  <si>
    <t>2.60</t>
  </si>
  <si>
    <t>Projeto de Sonorização</t>
  </si>
  <si>
    <t>2.61</t>
  </si>
  <si>
    <t>Consideramos 50% da área de edificação</t>
  </si>
  <si>
    <t>2.62</t>
  </si>
  <si>
    <t>Consideramos 50% da área de Edifícios Hospitalares e de Saúde</t>
  </si>
  <si>
    <t>2.63</t>
  </si>
  <si>
    <t>Consideramos 50% da área de Teatros, Auditórios, Centros de Convenções</t>
  </si>
  <si>
    <t>Projeto de Climatização</t>
  </si>
  <si>
    <t>2.64</t>
  </si>
  <si>
    <t>2.65</t>
  </si>
  <si>
    <t>2.66</t>
  </si>
  <si>
    <t>Projeto de Gases Medicinais</t>
  </si>
  <si>
    <t>2.68</t>
  </si>
  <si>
    <t>Consideramos 10% da área de edificação</t>
  </si>
  <si>
    <t>2.69</t>
  </si>
  <si>
    <t xml:space="preserve">Projeto de Tratamento Acústico </t>
  </si>
  <si>
    <t>O cálculo da área equivale à área contemplada.</t>
  </si>
  <si>
    <t>2.72</t>
  </si>
  <si>
    <t>Consideramos 40% da área de edificação</t>
  </si>
  <si>
    <t xml:space="preserve">Projeto Comunicação Visual </t>
  </si>
  <si>
    <t>O cálculo da área equivale à área construída e inclui a arte.</t>
  </si>
  <si>
    <t>2.73</t>
  </si>
  <si>
    <t>2.74</t>
  </si>
  <si>
    <t>2.75</t>
  </si>
  <si>
    <t>PGRSCC - Plano de Gerenciamento de Resíduos Sólidos da Construção Civil:</t>
  </si>
  <si>
    <t>O preço é por unidade. Deverá ser anexado à documentação necessária para o licenciamento ambiental da obra</t>
  </si>
  <si>
    <t>2.76</t>
  </si>
  <si>
    <t>De O a 1.500,00 m2</t>
  </si>
  <si>
    <t>2.77</t>
  </si>
  <si>
    <t>Acima de 1.501,00 m2</t>
  </si>
  <si>
    <t>PROJETOS DE INFRAESTRUTURA</t>
  </si>
  <si>
    <t>3.1</t>
  </si>
  <si>
    <t xml:space="preserve">Áreas Livres de Terreno Edificado </t>
  </si>
  <si>
    <t>3.1.1</t>
  </si>
  <si>
    <t>Terraplenagem e Geométrico de Vias</t>
  </si>
  <si>
    <t>Área considerada : área do terreno;</t>
  </si>
  <si>
    <t>3.1.1.1</t>
  </si>
  <si>
    <t>até 14.000,00</t>
  </si>
  <si>
    <t>Consideramos 350 km de comprimento x 8 m de Largura de Interveção</t>
  </si>
  <si>
    <t>3.1.2</t>
  </si>
  <si>
    <t>Pavimentação</t>
  </si>
  <si>
    <t>Área considerada: para ruas, 20% da área do terreno; para praças e equipamentos, 15% da área do terreno.</t>
  </si>
  <si>
    <t>3.1.2.1</t>
  </si>
  <si>
    <t>até 2.500,00</t>
  </si>
  <si>
    <t>3.1.3</t>
  </si>
  <si>
    <t>Drenagem Pluvial</t>
  </si>
  <si>
    <t>3.1.3.1</t>
  </si>
  <si>
    <t>Drenagem Pluvial Simples  -  (Micro  e Macrodrenagem)</t>
  </si>
  <si>
    <t>3.1.3.1.1</t>
  </si>
  <si>
    <t>até 10.000,00</t>
  </si>
  <si>
    <t>3.1.3.2</t>
  </si>
  <si>
    <t>Drenagem Pluvial Complexa  -  (Micro e Macrodrenagem)</t>
  </si>
  <si>
    <t>3.1.3.2.1</t>
  </si>
  <si>
    <t>Consideramos 150 km de comprimento x 8 m de Largura de Interveção</t>
  </si>
  <si>
    <t>3.1.4</t>
  </si>
  <si>
    <t>Abastecimento de água</t>
  </si>
  <si>
    <t>3.1.4.1</t>
  </si>
  <si>
    <t>até 15.000,00</t>
  </si>
  <si>
    <t>Consideramos 1.500 km de comprimento de Interveção x Largura de 150 de intervenção</t>
  </si>
  <si>
    <t>3.1.5</t>
  </si>
  <si>
    <t>Esgotos Sanitários</t>
  </si>
  <si>
    <t>3.1.5.1</t>
  </si>
  <si>
    <t>Rede Condominial com Fossa e Filtro</t>
  </si>
  <si>
    <t>3.1.5.1.1</t>
  </si>
  <si>
    <t>3.1.5.2</t>
  </si>
  <si>
    <t>Tratamento de Maior Complexidade / Elevatória</t>
  </si>
  <si>
    <t>3.1.5.2.1</t>
  </si>
  <si>
    <t>3.1.6</t>
  </si>
  <si>
    <t>Rede Elétrica</t>
  </si>
  <si>
    <t>Área considerada para partidos urbanísticos: para ruas, 15% da área do terreno; para praças e equipamentos, 20% da área do terreno.</t>
  </si>
  <si>
    <t>3.1.6.1</t>
  </si>
  <si>
    <t>até 13.750,00</t>
  </si>
  <si>
    <t>Consideramos 150 km de comprimento x 7 m de Largura de Interveção</t>
  </si>
  <si>
    <t>3.1.7</t>
  </si>
  <si>
    <t>Estruturas de Contenção I Estabilidade de Taludes</t>
  </si>
  <si>
    <t>A área compreende o desnível x comprimento longitudinal.</t>
  </si>
  <si>
    <t>3.1.7.1</t>
  </si>
  <si>
    <t>até 3,00 m</t>
  </si>
  <si>
    <t>Consideramos 50 km de comprimento x 3 m de Altura</t>
  </si>
  <si>
    <t>3.1.7.2</t>
  </si>
  <si>
    <t>de 3,01 ma 6,00 m</t>
  </si>
  <si>
    <t>Consideramos 15 km de comprimento x 6 m de Altura</t>
  </si>
  <si>
    <t>3.1.7.3</t>
  </si>
  <si>
    <t>acima de 6,01 m</t>
  </si>
  <si>
    <t>Consideramos 10 km de comprimento x acima de 15 m de Altura</t>
  </si>
  <si>
    <t>3.2.7</t>
  </si>
  <si>
    <t>Projeto Estrutural do Canal de Macrodrenagem</t>
  </si>
  <si>
    <t>M</t>
  </si>
  <si>
    <t>3.2.8</t>
  </si>
  <si>
    <t>Projeto de Sinalização Vertical e Horizontal</t>
  </si>
  <si>
    <t>KM</t>
  </si>
  <si>
    <t>3.2.9</t>
  </si>
  <si>
    <t>Cadastramento de Infraestrutura Existente</t>
  </si>
  <si>
    <t>Serviços Geotécnicos e Geológicos</t>
  </si>
  <si>
    <t>4.1</t>
  </si>
  <si>
    <t>SONDAGENS DE SIMPLES RECONHECIMENTO DE SUB-SOLO (PERCUSSÃO)</t>
  </si>
  <si>
    <t>A quantidade mínima por metro linear de sondagem será  20,45 m; Considerar a quantidade mínima de 03 furos .</t>
  </si>
  <si>
    <t>4.1.1</t>
  </si>
  <si>
    <t>Mobilização e desmobilização de pessoal e equipamentos (área concentrada )</t>
  </si>
  <si>
    <t>4.1.6</t>
  </si>
  <si>
    <t>Maior que 100 krn da Aracaju ou Matriz do Processo</t>
  </si>
  <si>
    <t>Consideramos 10 sondagens por mês x 12 meses</t>
  </si>
  <si>
    <t>4.1.7</t>
  </si>
  <si>
    <t>Deslocamento entre furos  em mesma área</t>
  </si>
  <si>
    <t>4.1.10</t>
  </si>
  <si>
    <t>De 501 até 2000 m</t>
  </si>
  <si>
    <t>Consideramos 15 sondagens por mês x 12 meses</t>
  </si>
  <si>
    <t>4.1.11</t>
  </si>
  <si>
    <t>Por metro linear de sondagem</t>
  </si>
  <si>
    <t>m</t>
  </si>
  <si>
    <t>Consideramos 90 sondagens por mês x 10 m de profundidade x 12 meses</t>
  </si>
  <si>
    <t>4.2</t>
  </si>
  <si>
    <t xml:space="preserve"> SONDAGEM A TRADO E/OU POÇO DE VISITA</t>
  </si>
  <si>
    <t>Considerar a quantidade mínima de 03 furos.</t>
  </si>
  <si>
    <t>4.2.1</t>
  </si>
  <si>
    <t>4.2.5</t>
  </si>
  <si>
    <t>De 61 a 100 krn de Aracaju ou Matriz (Maringá)</t>
  </si>
  <si>
    <t>4.2.6</t>
  </si>
  <si>
    <t>Maior que 100 krn de Aracaju ou Matriz (Maringá)</t>
  </si>
  <si>
    <t>4.2.7</t>
  </si>
  <si>
    <t>4.2.10</t>
  </si>
  <si>
    <t>Consideramos 50 sondagens por mês x 12 meses</t>
  </si>
  <si>
    <t>4.2.11</t>
  </si>
  <si>
    <t>Poço de Visita</t>
  </si>
  <si>
    <t>Consideramos 150 furos de sondagens por mês x 12 meses</t>
  </si>
  <si>
    <t>4.2.12</t>
  </si>
  <si>
    <t>Trado</t>
  </si>
  <si>
    <t>4.2.13</t>
  </si>
  <si>
    <t>Por cada determinação de taxa de percolação</t>
  </si>
  <si>
    <t>Consideramos 10 furos por mês x 12 meses</t>
  </si>
  <si>
    <t>4.3</t>
  </si>
  <si>
    <t>Ensaios de Laboratório</t>
  </si>
  <si>
    <t>4.3.1.1</t>
  </si>
  <si>
    <t>Granulometria por peneiramento</t>
  </si>
  <si>
    <t>Consideramos 100 furos de sondagens por mês x 12 meses</t>
  </si>
  <si>
    <t>4.3.1.2</t>
  </si>
  <si>
    <t>Granulometria combinada (peneiramento +sedimentação)</t>
  </si>
  <si>
    <t>4.3.1.3</t>
  </si>
  <si>
    <t>Limite de liquidez</t>
  </si>
  <si>
    <t>4.3.1.4</t>
  </si>
  <si>
    <t>Limite de plasticidade</t>
  </si>
  <si>
    <t>4.3.1.5</t>
  </si>
  <si>
    <t>Compactação proctor normal/intermediário</t>
  </si>
  <si>
    <t>4.3.1.6</t>
  </si>
  <si>
    <t>Indice de suporte califórnia</t>
  </si>
  <si>
    <t>4.3.1.7</t>
  </si>
  <si>
    <t>Equivalente de areia</t>
  </si>
  <si>
    <t>Consideramos 11 furos de sondagens por mês x 12 meses</t>
  </si>
  <si>
    <t>4.4</t>
  </si>
  <si>
    <t>Estudos de Jazidas</t>
  </si>
  <si>
    <t>4.4.1</t>
  </si>
  <si>
    <t xml:space="preserve">Mobilização de pessoal e equipamentos </t>
  </si>
  <si>
    <t>4.4.5</t>
  </si>
  <si>
    <t>Consideramos 9 sondagens por mês x 12 meses</t>
  </si>
  <si>
    <t>4.4.6</t>
  </si>
  <si>
    <t>4.4.7</t>
  </si>
  <si>
    <t>Consideramos 10 furos de sondagens por mês x 12 meses</t>
  </si>
  <si>
    <t>4.4.8</t>
  </si>
  <si>
    <t>4.4.9</t>
  </si>
  <si>
    <t>Consideramos 2 furos por mês x 12 meses</t>
  </si>
  <si>
    <t>Topografia</t>
  </si>
  <si>
    <t>5.2</t>
  </si>
  <si>
    <t>Levantamento Topográfico Planialtimétrico Semi-Cadastral das áreas</t>
  </si>
  <si>
    <t>5.2.1</t>
  </si>
  <si>
    <t>Areas até 1ha</t>
  </si>
  <si>
    <t>Itens 1.3, 1.6, 1.9, 1.12, 1.15, 1.18, 1.21, 1.24, 1.27, 1.30, 1.33, 1.36 + 3.1.7.1 a 3.1.7.3 + 3.2.7</t>
  </si>
  <si>
    <t>5.2.2</t>
  </si>
  <si>
    <t>Areas de 1ha a 5ha</t>
  </si>
  <si>
    <t>Itens 1.3</t>
  </si>
  <si>
    <t>5.4</t>
  </si>
  <si>
    <t>Levantamento Topográfico Batimétrico Semi-Cadastral das áreas</t>
  </si>
  <si>
    <t>5.4.1</t>
  </si>
  <si>
    <t>Item 3.1.1.1</t>
  </si>
  <si>
    <t>5.5</t>
  </si>
  <si>
    <t>Levantamento de Coordenadas e Altitude</t>
  </si>
  <si>
    <t>5.5.1</t>
  </si>
  <si>
    <t>Transporte de Coordenadas</t>
  </si>
  <si>
    <t>Consideramos 250 km por mês x 12 meses</t>
  </si>
  <si>
    <t>5.5.2</t>
  </si>
  <si>
    <t>Transporte de Altitude</t>
  </si>
  <si>
    <t>5.6</t>
  </si>
  <si>
    <t>Implantação de Marcos de Concreto</t>
  </si>
  <si>
    <t>Consideramos 500 km por mês x 12 meses</t>
  </si>
  <si>
    <t>5.7</t>
  </si>
  <si>
    <t>Equipe topográfica de Campo Completa</t>
  </si>
  <si>
    <t>5.7.2</t>
  </si>
  <si>
    <t>Equipe Topográfica de Campo Completa com Equipamento e Escritório com
Processamento e Desenho</t>
  </si>
  <si>
    <t>Diária</t>
  </si>
  <si>
    <t>1 equipes 30 dias x 12 meses</t>
  </si>
  <si>
    <t>5.8</t>
  </si>
  <si>
    <t xml:space="preserve">Deslocamento de equipe </t>
  </si>
  <si>
    <t>5.8.2</t>
  </si>
  <si>
    <t>Acima de 50Km da capital</t>
  </si>
  <si>
    <t>6 Levantamentos mês x 2 Equipes x 12 meses</t>
  </si>
  <si>
    <t>5.9</t>
  </si>
  <si>
    <t>Elaboração de Planta de Locação</t>
  </si>
  <si>
    <t>5.9.1</t>
  </si>
  <si>
    <t>Obras de Infra</t>
  </si>
  <si>
    <t>5.9.2</t>
  </si>
  <si>
    <t>Obras civis</t>
  </si>
  <si>
    <t>Consideramos áreas do Estrutural dos Itens</t>
  </si>
  <si>
    <t>5.10</t>
  </si>
  <si>
    <t xml:space="preserve">Levantamento Topográfico Planialtimétrico Semi-Cadastral das áreas de Invasão e/ou risco e áreas de vegetação densa </t>
  </si>
  <si>
    <t>5.10.1</t>
  </si>
  <si>
    <t>Itens 1.45 a 1.58 +  2.3 a 2.6</t>
  </si>
  <si>
    <t>5.13</t>
  </si>
  <si>
    <t xml:space="preserve">Elaboração de Planta Individual, Memorial Decsritivo e Dossiê contendo Cadastro social / documental </t>
  </si>
  <si>
    <t>5.13.1</t>
  </si>
  <si>
    <t>Até 1 lote</t>
  </si>
  <si>
    <t>lote</t>
  </si>
  <si>
    <t xml:space="preserve">Item 5.9.1, 1 Lote a cada 1000 m² </t>
  </si>
  <si>
    <t>Orçamento</t>
  </si>
  <si>
    <t>VALOR MÍNIMO DE ORÇAMENTO E ESPECIFICAÇÕES</t>
  </si>
  <si>
    <t>Revisões, orçamentos muito pequenos</t>
  </si>
  <si>
    <t>6.1</t>
  </si>
  <si>
    <t>Edificações em Geral - Novo</t>
  </si>
  <si>
    <t>Itens 1.3, 1.6, 1.9, 1.12, 1.18, 1.21, 1.24, 1.27, 1.30</t>
  </si>
  <si>
    <t>6.2</t>
  </si>
  <si>
    <t>Edificações em Geral - Reforma</t>
  </si>
  <si>
    <t>Itens 1.4, 1.7, 1.10, 1.13, 1.19, 1.22, 1.25, 1.28, 1.31</t>
  </si>
  <si>
    <t>6.3</t>
  </si>
  <si>
    <t>Itens 1.15</t>
  </si>
  <si>
    <t>6.4</t>
  </si>
  <si>
    <t>Itens 1.16</t>
  </si>
  <si>
    <t>6.5</t>
  </si>
  <si>
    <t>Restaurações de Edificaçoes Tombadas - Reforma</t>
  </si>
  <si>
    <t>Itens 1.36</t>
  </si>
  <si>
    <t>6.6</t>
  </si>
  <si>
    <t>Acesibilidade - Novo</t>
  </si>
  <si>
    <t>Itens 1.18</t>
  </si>
  <si>
    <t>6.7</t>
  </si>
  <si>
    <t>Acesibilidade - Reforma</t>
  </si>
  <si>
    <t>Itens 1.19</t>
  </si>
  <si>
    <t>Orçamento dos quantitativos de Projetos</t>
  </si>
  <si>
    <t>Orçamento para levantamento de quantitativos dos projetos complementares de engenharia;</t>
  </si>
  <si>
    <t>6.8</t>
  </si>
  <si>
    <t>Fundação</t>
  </si>
  <si>
    <t>Itens 2.1 a 2.2</t>
  </si>
  <si>
    <t>6.9</t>
  </si>
  <si>
    <t>Estrutural</t>
  </si>
  <si>
    <t>Itens 2.3 a 2.19</t>
  </si>
  <si>
    <t>6.10</t>
  </si>
  <si>
    <t>Elétrico</t>
  </si>
  <si>
    <t>Itens 2.48 a 2.54</t>
  </si>
  <si>
    <t>6.11</t>
  </si>
  <si>
    <t>Hidráulico, Sanitário, Drenagem, Incêndio, Gás,
PDA, Cabeamento Estruturado</t>
  </si>
  <si>
    <t>Itens 2.20 a 2.41</t>
  </si>
  <si>
    <t>6.12</t>
  </si>
  <si>
    <t>Sonorização, CFTV , Climatização , Gases
Medicinais, Chamada de Enfermeira</t>
  </si>
  <si>
    <t>Itens 2.61 a 2.69</t>
  </si>
  <si>
    <t>Orçamento Infraestrutura e Urbanização</t>
  </si>
  <si>
    <t>VALOR MÍNIMO DE ORÇAMENTO INFRAESTRUTURA E URBANIZAÇÃO</t>
  </si>
  <si>
    <t>Estimativa por demanda de pequenos orçamentos</t>
  </si>
  <si>
    <t>6.13</t>
  </si>
  <si>
    <t>Até 10.000m²</t>
  </si>
  <si>
    <t>Itens 1.33 a 1.34 + 1.45 a 1.51 + 3.1.1.1</t>
  </si>
  <si>
    <t>Compatibilização de Projetos</t>
  </si>
  <si>
    <t>4.5</t>
  </si>
  <si>
    <t>Coordenação e Compatibilização de Projetos</t>
  </si>
  <si>
    <t>%</t>
  </si>
  <si>
    <t>SECID</t>
  </si>
  <si>
    <t>Com base no valor dos Projetos, aplicando sobre o custo total dos Projetos: 15 %</t>
  </si>
  <si>
    <t>Treinamento Especializados na Plataforma Bim</t>
  </si>
  <si>
    <t>8.1</t>
  </si>
  <si>
    <t>Infraestrutura sem as licenças</t>
  </si>
  <si>
    <t>h</t>
  </si>
  <si>
    <t>Consideramos 2 horas dia x 2 dias semanais  x 4 semanas x 5 cidades x 12 meses</t>
  </si>
  <si>
    <t>8.2</t>
  </si>
  <si>
    <t>Civil sem as licenças</t>
  </si>
  <si>
    <t>VALOR TOTAL COM BDI</t>
  </si>
  <si>
    <t>VALOR BDI ORSE 23,54 %</t>
  </si>
  <si>
    <t>Comp. Trein.</t>
  </si>
  <si>
    <t>SICRO</t>
  </si>
  <si>
    <t>P8060</t>
  </si>
  <si>
    <t>Consultor</t>
  </si>
  <si>
    <t>P8061</t>
  </si>
  <si>
    <t>Eng. sênior</t>
  </si>
  <si>
    <t>BDI</t>
  </si>
  <si>
    <t>Licença</t>
  </si>
  <si>
    <t>SECRETARIA DE ESTADO DAS CIDADES</t>
  </si>
  <si>
    <t>DIRETORIA DE EDIFICAÇÕES</t>
  </si>
  <si>
    <t xml:space="preserve">TABELAS DE REFERÊNCIA:  SECID (JUNHO/2024) </t>
  </si>
  <si>
    <t>RESOLUÇÃO Nº 028/2024/SECID</t>
  </si>
  <si>
    <t>PESO</t>
  </si>
  <si>
    <t>SONDAGEM</t>
  </si>
  <si>
    <t>Sondagem Geológica</t>
  </si>
  <si>
    <t>2.1 a)</t>
  </si>
  <si>
    <t>Perfuração em Solos:</t>
  </si>
  <si>
    <t>2.1 b)</t>
  </si>
  <si>
    <t>Laudo de Fundações:</t>
  </si>
  <si>
    <t>2.1 c)</t>
  </si>
  <si>
    <t>Mobilização:</t>
  </si>
  <si>
    <t>Ensaios de Percolação</t>
  </si>
  <si>
    <t>2.2 a)</t>
  </si>
  <si>
    <t>Ensaio de Percolação</t>
  </si>
  <si>
    <t>FURO</t>
  </si>
  <si>
    <t>2.2 b)</t>
  </si>
  <si>
    <t>LEVANTAMENTO TOPOGRÁFICO</t>
  </si>
  <si>
    <t>Com base na área total do terreno, deverá ser realizada a composição do custo total através da somatória dos valores individuais para cada uma das faixas a seguir:</t>
  </si>
  <si>
    <t>3.1 a)</t>
  </si>
  <si>
    <t>Levantamento topográfico área até 1.000m2</t>
  </si>
  <si>
    <t>3.1 b)</t>
  </si>
  <si>
    <t>Levantamento topográfico até 1.001m² até 10.000m²</t>
  </si>
  <si>
    <t>3.1 c)</t>
  </si>
  <si>
    <t>Levantamento topográfico acima de 10.001m²</t>
  </si>
  <si>
    <t>PROJETO ARQUITETURA</t>
  </si>
  <si>
    <t>Projeto Executivo de Arquitetura Completo</t>
  </si>
  <si>
    <t>4.1 a)</t>
  </si>
  <si>
    <t>ED. HOSPITALARES E DE SAÚDE</t>
  </si>
  <si>
    <t>4.1 b)</t>
  </si>
  <si>
    <t>ED. ADMINISTRATIVAS</t>
  </si>
  <si>
    <t>Etapas de Projeto de Arquitetura</t>
  </si>
  <si>
    <t>Considerado incluso em todas as etapas abaixo o Layout de Mobiliário, Máquinas e Equipamentos. Também considerado incluso nos Projetos Básico e Executivo, as Perspectivas Externas/Internas, 3D.</t>
  </si>
  <si>
    <t>4.2 a)</t>
  </si>
  <si>
    <t>Estudo Preliminar</t>
  </si>
  <si>
    <t>10% do valor do Projeto Executivo de Arquitetura Completo (item 4.1):</t>
  </si>
  <si>
    <t>4.2 b)</t>
  </si>
  <si>
    <t>Anteprojeto</t>
  </si>
  <si>
    <t>30% do valor do Projeto Executivo de Arquitetura Completo (item 4.1):</t>
  </si>
  <si>
    <t>4.2 c)</t>
  </si>
  <si>
    <t>Projeto Básico</t>
  </si>
  <si>
    <t>25% do valor do Projeto Executivo de Arquitetura Completo (item 4.1):</t>
  </si>
  <si>
    <t>4.2 d)</t>
  </si>
  <si>
    <t>Projeto Legal</t>
  </si>
  <si>
    <t>4.2 e)</t>
  </si>
  <si>
    <t>Projeto Executivo / Detalhamentos</t>
  </si>
  <si>
    <t>15% do valor do Projeto Executivo de Arquitetura Completo (item 4.1):</t>
  </si>
  <si>
    <t>4.2 f)</t>
  </si>
  <si>
    <t>Memorial Descritivo</t>
  </si>
  <si>
    <t>Elementos Técnicos Conexos ao Projeto de Arquitetura</t>
  </si>
  <si>
    <t>Contratação individual dos seguintes elementos técnicos, com base no valor do item 4.1</t>
  </si>
  <si>
    <t>4.3 a)</t>
  </si>
  <si>
    <t>Levantamentos Arquitetônicos</t>
  </si>
  <si>
    <t>4.3 b)</t>
  </si>
  <si>
    <t>Layouts de Mobiliário, Máquinas e Equipamentos</t>
  </si>
  <si>
    <t>4.3 c)</t>
  </si>
  <si>
    <t>5% do valor do Projeto Executivo de Arquitetura Completo (item 4.1):</t>
  </si>
  <si>
    <t>4.3 d)</t>
  </si>
  <si>
    <t>Relação de Materiais</t>
  </si>
  <si>
    <t>4.3 e)</t>
  </si>
  <si>
    <t>Perspectivas Externas/Internas, 3D</t>
  </si>
  <si>
    <t>Projetos de Edificações/Obras Existentes</t>
  </si>
  <si>
    <t>Com base no valor do item 4.1, aplicando sobre o custo total do item 4.2</t>
  </si>
  <si>
    <t>4.4 a)</t>
  </si>
  <si>
    <t>Projeto e Aprovação de Obras Existentes</t>
  </si>
  <si>
    <t>4.4 b)</t>
  </si>
  <si>
    <t>Projeto de Ampliação de Edificação Existente</t>
  </si>
  <si>
    <t>4.4 c)</t>
  </si>
  <si>
    <t>Projeto de Reforma e/ou Revitalização de Edificação Existente</t>
  </si>
  <si>
    <t>4.4 d)</t>
  </si>
  <si>
    <t>Projeto de Restauro de Edificações Existentes</t>
  </si>
  <si>
    <t>Com base no valor do item 4.1, aplicando sobre o custo total do item 4.2: 15 %</t>
  </si>
  <si>
    <t>PROJETOS CORRELATOS DE ARQUITETURA</t>
  </si>
  <si>
    <t>5.1</t>
  </si>
  <si>
    <t>Projeto de Comunicação Visual</t>
  </si>
  <si>
    <t>Projeto Executivo de Comunicação Visual (Interno/Externo)</t>
  </si>
  <si>
    <t>Projeto Executivo de Paisagismo</t>
  </si>
  <si>
    <t>5.2 a)</t>
  </si>
  <si>
    <t>Projeto Executivo de Paisagismo, para áreas até 500,00 m</t>
  </si>
  <si>
    <t>5.2 b)</t>
  </si>
  <si>
    <t>Projeto Executivo de Paisagismo, para áreas acima de 500,01 m²</t>
  </si>
  <si>
    <t>PROJETOS ESTRUTURAIS</t>
  </si>
  <si>
    <t xml:space="preserve"> </t>
  </si>
  <si>
    <t>Projeto Executivo Estrutural de Fundações Profundas</t>
  </si>
  <si>
    <t>6.1 a)</t>
  </si>
  <si>
    <t>Projeto Executivo Estrutural de Fundações em sapatas ou blocos sobre estacas, ligadas por viga baldrame, pela área de projeção da edificação</t>
  </si>
  <si>
    <t>Projeto Executivo Estrutural em Concreto Armado (Superestrutura)</t>
  </si>
  <si>
    <t>6.2 a)</t>
  </si>
  <si>
    <t>Projeto Executivo Estrutural de Superestrutura em Concreto Armado, considerando a área total em planta da edificação, por piso ou teto, com ou sem repetições e simetrias, inclusive
as áreas de arrimos, quando existirem, ou seja, a soma de todas as áreas que exijam
desenvolvimento de formas, inclusive repetidas:</t>
  </si>
  <si>
    <t>Projeto Executivo Estrutural Metálico</t>
  </si>
  <si>
    <t>Para coberturas metálicas, deve-se considerar a área de projeção da cobertura.</t>
  </si>
  <si>
    <t>6.3 a)</t>
  </si>
  <si>
    <t>Projeto Executivo de Estrutura Metálica, áreas até 200 m²</t>
  </si>
  <si>
    <t>6.3 b)</t>
  </si>
  <si>
    <t>Projeto Executivo de Est. Metálica, áreas acima de 201 a 500 m²</t>
  </si>
  <si>
    <t>6.3 c)</t>
  </si>
  <si>
    <t>Projeto Executivo de Est. Metálica, áreas acima de 501 a 1.000 m²</t>
  </si>
  <si>
    <t>6.3 d)</t>
  </si>
  <si>
    <t>Projeto Executivo de Est. Metálica, áreas acima de 1.001 m²</t>
  </si>
  <si>
    <t>Projeto Executivo Estrutural em Madeira</t>
  </si>
  <si>
    <t>Para coberturas em madeira, deve-se considerar a área de projeção da cobertura.</t>
  </si>
  <si>
    <t>6.4 a)</t>
  </si>
  <si>
    <t>Projeto Executivo de Estrutura em Madeira, áreas até 200 m²</t>
  </si>
  <si>
    <t>6.4 b)</t>
  </si>
  <si>
    <t>Projeto Executivo de Est. em Madeira, áreas acima de 200 a 500 m²</t>
  </si>
  <si>
    <t>6.4 c)</t>
  </si>
  <si>
    <t>Projeto Executivo de Est. em Madeira, áreas acima de 500 a 1.000 m²</t>
  </si>
  <si>
    <t>6.4 d)</t>
  </si>
  <si>
    <t>Projeto Executivo de Est. em Madeira, áreas acima de 1.000 m²</t>
  </si>
  <si>
    <t>PROJETO DE INSTALAÇÕES HIDROSSANITÁRIAS E DRENAGEM</t>
  </si>
  <si>
    <t>7.1</t>
  </si>
  <si>
    <t>Projeto Executivo de Instalações Hidrossanit. e Drenagem Completo de Edificações</t>
  </si>
  <si>
    <t>Projeto Executivo Completo de Instalações Hidrossanitárias e Drenagem em Edificações, compreendendo instalações de Água Fria, Água Quente, Esgoto, Águas Pluviais, Aproveitamento de Águas Pluviais e Drenagem:</t>
  </si>
  <si>
    <t>7.1 a)</t>
  </si>
  <si>
    <t>Edificações Administrativas e Educacionais:</t>
  </si>
  <si>
    <t>7.1 b)</t>
  </si>
  <si>
    <t>Edificações Militares (exceto Penitenciárias) e Delegacias de Polícia:</t>
  </si>
  <si>
    <t>7.1 c)</t>
  </si>
  <si>
    <t>Edificações de Penitenciárias:</t>
  </si>
  <si>
    <t>7.1 d)</t>
  </si>
  <si>
    <t>Edificações Esportivas (inclusive Ginásios):</t>
  </si>
  <si>
    <t>7.1 e)</t>
  </si>
  <si>
    <t>Edificações Hospitalares e de Saúde:</t>
  </si>
  <si>
    <t>7.1 f)</t>
  </si>
  <si>
    <t>Edificações Históricas ou de Interesse de Preservação:</t>
  </si>
  <si>
    <t>7.2</t>
  </si>
  <si>
    <t>Projeto Executivo de Gases Medicinais Completo de Edificações</t>
  </si>
  <si>
    <t>7.3</t>
  </si>
  <si>
    <t>Projeto Executivo de Instalações Hidrossanit. e Drenagem de Interligação entre Blocos</t>
  </si>
  <si>
    <t>25% do valor do Projeto Executivo de Instalações Hidrossanitárias de Edificações, por tipo de edificação.</t>
  </si>
  <si>
    <t>7.4</t>
  </si>
  <si>
    <t>Projeto Executivo de Instalações Hidrossanitárias e Drenagem de Implantação em Projetos Existentes ou Projetos Padrões</t>
  </si>
  <si>
    <t>25% do valor do Projeto Executivo Completo de Instalações Hidrossanitárias compreendendo instalações de
Água Fria, Água Quente, Esgoto, Águas Pluviais, Aproveitamento de Águas Pluviais e Drenagem,
quando couber, por tipo de edificação, em implantações específicas de projetos já elaborados (ou projetos padrões) em outros terrenos, com base no custo do projeto original.</t>
  </si>
  <si>
    <t>7.5</t>
  </si>
  <si>
    <t>Projeto Executivo de Instalações Hidrossanit. e Drenagem em Reformas e Ampliações</t>
  </si>
  <si>
    <t>7.5 a)</t>
  </si>
  <si>
    <t>Ampliações: serão considerados como novos prédios e novas áreas externas, aplicadas as tabelas dos itens compatíveis especificados anteriormente a tabela.</t>
  </si>
  <si>
    <t>7.5 b)</t>
  </si>
  <si>
    <t>Reformas: com base nas tabelas dos itens compatíveis acima:</t>
  </si>
  <si>
    <t>PROJETO DE INSTALAÇÕES ELÉTRICAS</t>
  </si>
  <si>
    <t>Projeto Executivo de Instalações Elétricas Completo de Edificações</t>
  </si>
  <si>
    <t>Compreendendo Projetos Executivos de Luz e Força, Sistema de Proteção contra Descargas Atmosféricos (SPDA), Lógica e Telefonia, CFTV, Sonorização, Automação e Segurança:</t>
  </si>
  <si>
    <t>8.1 a)</t>
  </si>
  <si>
    <t>8.1 b)</t>
  </si>
  <si>
    <t>8.1 c)</t>
  </si>
  <si>
    <t>8.1 d)</t>
  </si>
  <si>
    <t>8.1 e)</t>
  </si>
  <si>
    <t>8.1 f)</t>
  </si>
  <si>
    <t>Projetos Executivos de Instalações Elétricas Específicos de Edificações</t>
  </si>
  <si>
    <t>Com base no valor do Projeto Executivo de Instalações Elétricas de Edificações Completo</t>
  </si>
  <si>
    <t>8.2 a)</t>
  </si>
  <si>
    <t>Projeto Executivo de Luz e Força</t>
  </si>
  <si>
    <t>50% do valor do Projeto Executivo de Instalações Elétricas de Edificações Completo</t>
  </si>
  <si>
    <t>8.2 b)</t>
  </si>
  <si>
    <t>Projeto Executivo de SPDA</t>
  </si>
  <si>
    <t>10% do valor do Projeto Executivo de Instalações Elétricas de Edificações Completo</t>
  </si>
  <si>
    <t>8.2 c)</t>
  </si>
  <si>
    <t>Projeto Executivo de Lógica e Telefonia</t>
  </si>
  <si>
    <t>23% do valor do Projeto Executivo de Instalações Elétricas de Edificações Completo</t>
  </si>
  <si>
    <t>8.2 d)</t>
  </si>
  <si>
    <t>Projeto Executivo de CFTV, Sonorização, Automação e Segurança</t>
  </si>
  <si>
    <t>17% do valor do Projeto Executivo de Instalações Elétricas de Edificações Completo</t>
  </si>
  <si>
    <t>8.3</t>
  </si>
  <si>
    <t>Modificação de Energia, Cabines e Postos de Transformação</t>
  </si>
  <si>
    <t>8.3 a)</t>
  </si>
  <si>
    <t>Projeto Executivo de Cabine de Transformação, em alvenaria e/ou cubículo blindado e/ou
de Posto de Transformação</t>
  </si>
  <si>
    <t>8.3 c)</t>
  </si>
  <si>
    <t>Levantamento de Cargas em Imóvel Existente</t>
  </si>
  <si>
    <t>Considerar 25% do valor do Projeto Executivo de Instalações Elétricas de Edificações Completo de Edificações (Item 8.1)</t>
  </si>
  <si>
    <t>8.4</t>
  </si>
  <si>
    <t>Projeto Executivo de Instalações Elétricas de Interligação entre Blocos</t>
  </si>
  <si>
    <t>8.4 a)</t>
  </si>
  <si>
    <t>Projeto Executivo de Instalações Elétricas compreendendo instalações de Luz e Força, SPDA,
Lógica e Telefonia, CFTV, Sonorização, Automação e Segurança, quando couber, com base no
valor do Projeto Executivo de Instalações Elétricas Completo de Edificações, por tipo de edificação:</t>
  </si>
  <si>
    <t>Considerar 25% do valor do Projeto Executivo de Instalações Elétricas Completo de Edificações, por tipo de edificação</t>
  </si>
  <si>
    <t>8.5</t>
  </si>
  <si>
    <t>Projeto Executivo de Instalações Elétricas de Implantação em Proj. Existentes ou Proj. Padrões</t>
  </si>
  <si>
    <t>8.5 a)</t>
  </si>
  <si>
    <t>Projeto Executivo de Instalações Elétricas compreendendo instalações de Luz e Força, SPDA, Lógica e Telefonia, CFTV, Sonorização, Automação e Segurança, quando couber, por tipo de edificação, em implantações específicas de projetos já elaborados (ou projetos padrões) em outros terrenos, com base no custo do projeto original:</t>
  </si>
  <si>
    <t>8.6</t>
  </si>
  <si>
    <t>Projeto Executivo de Instalações Elétricas em Reformas e Ampliações</t>
  </si>
  <si>
    <t>8.6 a)</t>
  </si>
  <si>
    <t>Ampliações: serão considerados como novos prédios e novas áreas externas, aplicadas
as tabelas dos itens compatíveis especificados anteriormente a tabela:</t>
  </si>
  <si>
    <t>PROJETO TÉCNICO DE PREVENÇÃO A INCÊNDIO E A DESASTRES (PTPID)</t>
  </si>
  <si>
    <t>9.1</t>
  </si>
  <si>
    <t>Projeto Técnico de Prevenção a Incêndio e a Desastres (PTPID) de Edificações</t>
  </si>
  <si>
    <t>9.1 a)</t>
  </si>
  <si>
    <t>Edificações Administrativas:</t>
  </si>
  <si>
    <t>9.1 b)</t>
  </si>
  <si>
    <t>Edificações Educacionais:</t>
  </si>
  <si>
    <t>9.1 c)</t>
  </si>
  <si>
    <t>9.1 d)</t>
  </si>
  <si>
    <t>9.1 e)</t>
  </si>
  <si>
    <t>9.1 f)</t>
  </si>
  <si>
    <t>9.1 g)</t>
  </si>
  <si>
    <t>9.2</t>
  </si>
  <si>
    <t>Projeto Técnico de Prevenção a Incêndio e a Desastres de Interligação entre Blocos</t>
  </si>
  <si>
    <t>9.2 a)</t>
  </si>
  <si>
    <t>Projeto Técnico de Prevenção a Incêndio e a Desastres (PTPID), com base no valor do Projeto Técnico de Prevenção a Incêndio e a Desastres (PTPID) Completo de Edificações:</t>
  </si>
  <si>
    <t>9.3</t>
  </si>
  <si>
    <t>Projeto Técnico de Prevenção a Incêndio e a Desastres (PTPID) em Reformas e Ampliações</t>
  </si>
  <si>
    <t>9.3 a)</t>
  </si>
  <si>
    <t>9.3 b)</t>
  </si>
  <si>
    <t>Reformas: com base nas tabelas dos itens compatíveis acima</t>
  </si>
  <si>
    <t>PROJETO DE CLIMATIZAÇÃO</t>
  </si>
  <si>
    <t>Para cada ambiente a ser climatizado, deve-se considerar o seguinte cálculo, aplicando os coeficientes de correção (itens 10.2 a 10.4), quanto à finalidade e uso da edificação, dificuldade e sistema aplicado:</t>
  </si>
  <si>
    <t>10.1</t>
  </si>
  <si>
    <t>Projeto Executivo de Climatização (Ar Condicionado e Ventilação)</t>
  </si>
  <si>
    <t>10.2</t>
  </si>
  <si>
    <t>Coeficientes A e B – Finalidade e Uso da Edificação</t>
  </si>
  <si>
    <t>10.2 a)</t>
  </si>
  <si>
    <t>Coeficiente A – Ar Condicionado ou Aquecimento</t>
  </si>
  <si>
    <t>Auditórios, centros de convenções:</t>
  </si>
  <si>
    <t>Cinemas e teatros:</t>
  </si>
  <si>
    <t>Computadores (Centro de Processamento de Dados) (*):</t>
  </si>
  <si>
    <t>Edifícios de escritórios:</t>
  </si>
  <si>
    <t>Estúdios de gravação (imagem e som):</t>
  </si>
  <si>
    <t>Hotéis (dormitórios, recepção, circulação):</t>
  </si>
  <si>
    <t>Repetidoras e retransmissores de rádio e TV:</t>
  </si>
  <si>
    <t>Restaurantes:</t>
  </si>
  <si>
    <t>Telecomunicações (equipamentos)</t>
  </si>
  <si>
    <t>Unidades especiais de análise médica (tomografia, ressonância magnética, ou outros)</t>
  </si>
  <si>
    <t>10.2 b)</t>
  </si>
  <si>
    <t>Coeficiente B – Ventilação Mecânica</t>
  </si>
  <si>
    <t>Estacionamentos e subsolos (*):</t>
  </si>
  <si>
    <t>Conforto, sanitários e vestiários (insuflação e exaustão):</t>
  </si>
  <si>
    <t>Conforto, sanitários e vestiários (insuflação ou exaustão):</t>
  </si>
  <si>
    <t>Cozinhas:</t>
  </si>
  <si>
    <t>Pressurização de escadas, controle de fumaça, ventilação industrial localizada e diluidora:</t>
  </si>
  <si>
    <t>váriável</t>
  </si>
  <si>
    <t>10.3</t>
  </si>
  <si>
    <t>Coeficiente C - Dificuldade</t>
  </si>
  <si>
    <t>Instalação nova em edifício novo:</t>
  </si>
  <si>
    <t>Instalação nova em edifício existente:</t>
  </si>
  <si>
    <t>Retrofit com aproveitamento da instalação existente, total ou parcial:</t>
  </si>
  <si>
    <t>11.4</t>
  </si>
  <si>
    <t>Coeficiente D – Sistema Empregado</t>
  </si>
  <si>
    <t>Equipamentos de Expansão Direta:</t>
  </si>
  <si>
    <t>Equipamentos de Água Gelada:</t>
  </si>
  <si>
    <t>Equipamentos VRF/VRV:</t>
  </si>
  <si>
    <t>11.5</t>
  </si>
  <si>
    <t>Coeficiente de Redução por Repetição</t>
  </si>
  <si>
    <t>No caso de repetição de edificações, blocos ou pavimentos, será aplicado um coeficiente de redução, por bloco ou pavimento: 25%</t>
  </si>
  <si>
    <t>11.6</t>
  </si>
  <si>
    <t>Valor Mínimo para Projetos Executivos de Climatização:</t>
  </si>
  <si>
    <t>Os valores de honorários mínimos para elaboração de Projetos Executivos de Climatização serão calculados seguindo os critérios descritos, considerando:</t>
  </si>
  <si>
    <t>11.6 a)</t>
  </si>
  <si>
    <t>Sistemas de Ar Condicionado</t>
  </si>
  <si>
    <t>11.6 b)</t>
  </si>
  <si>
    <t>Sistemas de Ventilação ou Aquecimento</t>
  </si>
  <si>
    <t>PROJETOS E ESTUDOS AMBIENTAIS</t>
  </si>
  <si>
    <t>11.1</t>
  </si>
  <si>
    <t>Plano de Gerenciamento de Resíduos Sólidos (PGRS)</t>
  </si>
  <si>
    <t>Consideram-se os Planos de Gerenciamento de Resíduos Completos para edificações de grande porte e/ou que geram elevada quantidade de resíduos, inclusive hospitais e postos de saúde. Para os Planos de Gerenciamento de Resíduos Simplificados, portanto, consideram-se edificações de pequeno e médio porte, de baixa complexidade e/ou que geram pouca quantidade de resíduos.</t>
  </si>
  <si>
    <t>11.1 a)</t>
  </si>
  <si>
    <t>PGRS, Simplificado</t>
  </si>
  <si>
    <t>11.1 b)</t>
  </si>
  <si>
    <t>PGRS, Completo</t>
  </si>
  <si>
    <t>11.2</t>
  </si>
  <si>
    <t>Plano de Gerenciamento de Resíduos de Serviços de Saúde (PGRSS)</t>
  </si>
  <si>
    <t>11.2 a)</t>
  </si>
  <si>
    <t>PGRSS, Simplificado</t>
  </si>
  <si>
    <t>11.3</t>
  </si>
  <si>
    <t>Plano de Gerenciamento de Resíduos da Construção Civil (PGRCC)</t>
  </si>
  <si>
    <t>11.3 a)</t>
  </si>
  <si>
    <t>PGRCC, Simplificado</t>
  </si>
  <si>
    <t>11.3 b)</t>
  </si>
  <si>
    <t>PGRCC, Completo</t>
  </si>
  <si>
    <t>ORÇAMENTO</t>
  </si>
  <si>
    <t>12.1</t>
  </si>
  <si>
    <t>Orçamento de Edificações e Implantações</t>
  </si>
  <si>
    <t>Planilha de Quantitativos, Memória de Cálculo, Composição de Custos, Cronograma Físico - Financeiro e Cotação de Preços, apresentado conforme metodologia e modelo de planilha de custos
de serviços SECID:</t>
  </si>
  <si>
    <t>12.1 a)</t>
  </si>
  <si>
    <t>12.1 b)</t>
  </si>
  <si>
    <t>Edificações Militares (exceto Penitenciárias):</t>
  </si>
  <si>
    <t>12.1 c)</t>
  </si>
  <si>
    <t>12.1 d)</t>
  </si>
  <si>
    <t>Delegacias de Polícia:</t>
  </si>
  <si>
    <t>12.1 e)</t>
  </si>
  <si>
    <t>12.1 f)</t>
  </si>
  <si>
    <t>Edificações Esportivas (inclusive ginásios):</t>
  </si>
  <si>
    <t>12.1 g)</t>
  </si>
  <si>
    <t>13.2</t>
  </si>
  <si>
    <t>Coeficientes de Redução</t>
  </si>
  <si>
    <t>13.2 a)</t>
  </si>
  <si>
    <t>Repetição de Edificações, Blocos ou Pavimentos (50 % por bloco ou pavimento tipo)</t>
  </si>
  <si>
    <t>13.2 b)</t>
  </si>
  <si>
    <t>Atualização de valores, com quantitativos já determinados</t>
  </si>
  <si>
    <t>RESUMO DE DISCIPLINAS</t>
  </si>
  <si>
    <t>Extensão em KM=</t>
  </si>
  <si>
    <t>Área Total=</t>
  </si>
  <si>
    <t>BDI do Contrato</t>
  </si>
  <si>
    <t>Extensão em M=</t>
  </si>
  <si>
    <t>Área Construida de Ponte ou Bueiros=</t>
  </si>
  <si>
    <t>BASE DE PREÇOS LIMITES</t>
  </si>
  <si>
    <t>VALOR APLICADO</t>
  </si>
  <si>
    <t>FONTES</t>
  </si>
  <si>
    <t>DISCIPLINAS</t>
  </si>
  <si>
    <t>Unitário Limite s/bdi - Tabelas</t>
  </si>
  <si>
    <t>Unitário Limite c/bdi</t>
  </si>
  <si>
    <t>Quant.</t>
  </si>
  <si>
    <t>Unid.</t>
  </si>
  <si>
    <t>total</t>
  </si>
  <si>
    <t>Diferença</t>
  </si>
  <si>
    <t>Item Paraná - Tem na Aba</t>
  </si>
  <si>
    <t>Item Orse m² ou km - Tem na Aba</t>
  </si>
  <si>
    <t>SONDAGEM SPT</t>
  </si>
  <si>
    <t>und.</t>
  </si>
  <si>
    <t>4.1.2</t>
  </si>
  <si>
    <t>TOPOGRAFIA</t>
  </si>
  <si>
    <t>m²</t>
  </si>
  <si>
    <t xml:space="preserve">ENSAIO GEOTÉCNICO DO SUBLEITO E JAZIDAS </t>
  </si>
  <si>
    <t>4.3.1-CBR</t>
  </si>
  <si>
    <t>4.4.2</t>
  </si>
  <si>
    <t>ENSAIO DE PERCOLAÇÃO DE SOLOS</t>
  </si>
  <si>
    <t>CADASTRAMENTO E MODELAGEM LASER SCAN BIM</t>
  </si>
  <si>
    <t>1.40</t>
  </si>
  <si>
    <t>ELETRICA DE BAIXA TENSÃO/ILUMINAÇÃO</t>
  </si>
  <si>
    <t>ELETRICA DE MÉDIA TENSÃO</t>
  </si>
  <si>
    <t>km</t>
  </si>
  <si>
    <t>PROJETO GEOMÉTRICO</t>
  </si>
  <si>
    <t>PROJETO DE TERRAPLANAGEM</t>
  </si>
  <si>
    <t>PROJETO DE PAVIMENTAÇÃO</t>
  </si>
  <si>
    <t>3.2.2</t>
  </si>
  <si>
    <t>PROJETO DE DRENAGEM</t>
  </si>
  <si>
    <t>3.2.3.2</t>
  </si>
  <si>
    <t>PROJETO ESTRUTURAL PONTES/CONTENÇÃO/CANAIS E GALERIAS DE INFRA</t>
  </si>
  <si>
    <t>PROJETO DE SINALIZAÇÃO HORIZONTAL E VERTICAL</t>
  </si>
  <si>
    <t>PROJETO DE INTERFERÊNCIAS E OBRAS COMPLEMENTARES</t>
  </si>
  <si>
    <t>PROJETO DE ACESSIBILIDADE NO BIM</t>
  </si>
  <si>
    <t>PROJETO HIDROMECÂNICO ADUTORA</t>
  </si>
  <si>
    <t>PROJETO HIDROMECÂNICO LINHA DE RECALQUE</t>
  </si>
  <si>
    <t>PROJETO ELEVATÓRIAS E TRATAMENTOS</t>
  </si>
  <si>
    <t>COMPATIBILIZAÇÃO DE PROJETOS</t>
  </si>
  <si>
    <t>Und.</t>
  </si>
  <si>
    <t>ESTUDOS AMBIENTAIS</t>
  </si>
  <si>
    <t>VOLUME DE ORÇAMENTO</t>
  </si>
  <si>
    <t>6.15</t>
  </si>
  <si>
    <t>VALOR TOTAL</t>
  </si>
  <si>
    <t xml:space="preserve">PRAZO DE ENTREGA: </t>
  </si>
  <si>
    <t>30 DIAS</t>
  </si>
  <si>
    <t>Valor por KM=</t>
  </si>
  <si>
    <t>Área Construida de Ponte=</t>
  </si>
  <si>
    <t>CADASTRAMENTO E/OU MODELAGEM LASER SCAN BIM</t>
  </si>
  <si>
    <t>3.2.1</t>
  </si>
  <si>
    <t>3.2.3.1</t>
  </si>
  <si>
    <t>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</si>
</sst>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R$ &quot;* #,##0.00_-;&quot;-R$ &quot;* #,##0.00_-;_-&quot;R$ &quot;* \-??_-;_-@_-"/>
    <numFmt numFmtId="165" formatCode="#,##0.00\ ;&quot; (&quot;#,##0.00\);&quot; -&quot;#\ ;@\ "/>
    <numFmt numFmtId="166" formatCode="0.0"/>
    <numFmt numFmtId="167" formatCode="#,##0.00\ ;[Red]\(#,##0.00\)"/>
    <numFmt numFmtId="168" formatCode="_-* #,##0.00_-;\-* #,##0.00_-;_-* \-??_-;_-@_-"/>
    <numFmt numFmtId="169" formatCode="#,##0.000"/>
    <numFmt numFmtId="170" formatCode="#,##0.00\ ;[Red]#,##0.00"/>
    <numFmt numFmtId="171" formatCode="mm/yy"/>
    <numFmt numFmtId="172" formatCode="&quot;DATA:  &quot;dd/mm/yyyy"/>
    <numFmt numFmtId="173" formatCode="0.000"/>
    <numFmt numFmtId="174" formatCode="0&quot; DIAS&quot;"/>
    <numFmt numFmtId="175" formatCode="&quot;R$ &quot;#,##0.00;[Red]&quot;-R$ &quot;#,##0.00"/>
  </numFmts>
  <fonts count="30">
    <font>
      <sz val="11"/>
      <color theme="1"/>
      <name val="Calibri"/>
      <charset val="134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11"/>
      <color theme="0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4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18"/>
      <color theme="0"/>
      <name val="Calibri"/>
      <family val="2"/>
      <charset val="1"/>
    </font>
    <font>
      <b/>
      <sz val="14"/>
      <color theme="0"/>
      <name val="Calibri"/>
      <family val="2"/>
      <charset val="1"/>
    </font>
    <font>
      <sz val="14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sz val="9"/>
      <color rgb="FF000000"/>
      <name val="Segoe UI"/>
      <family val="2"/>
      <charset val="1"/>
    </font>
    <font>
      <sz val="14"/>
      <color rgb="FF000000"/>
      <name val="Segoe UI"/>
      <family val="2"/>
      <charset val="1"/>
    </font>
    <font>
      <sz val="12"/>
      <color rgb="FF000000"/>
      <name val="Segoe U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0" tint="-0.14999847407452621"/>
        <bgColor rgb="FFEDEDED"/>
      </patternFill>
    </fill>
    <fill>
      <patternFill patternType="solid">
        <fgColor theme="0" tint="-4.9989318521683403E-2"/>
        <bgColor rgb="FFEDEDED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rgb="FF002060"/>
        <bgColor rgb="FF000080"/>
      </patternFill>
    </fill>
    <fill>
      <patternFill patternType="solid">
        <fgColor theme="4"/>
        <bgColor rgb="FF666699"/>
      </patternFill>
    </fill>
    <fill>
      <patternFill patternType="solid">
        <fgColor rgb="FFFFFF00"/>
        <bgColor rgb="FFFFFF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168" fontId="29" fillId="0" borderId="0" applyBorder="0" applyProtection="0"/>
    <xf numFmtId="164" fontId="29" fillId="0" borderId="0" applyBorder="0" applyProtection="0"/>
    <xf numFmtId="9" fontId="29" fillId="0" borderId="0" applyBorder="0" applyProtection="0"/>
    <xf numFmtId="0" fontId="8" fillId="0" borderId="0" applyBorder="0" applyProtection="0"/>
    <xf numFmtId="164" fontId="29" fillId="0" borderId="0" applyBorder="0" applyProtection="0"/>
    <xf numFmtId="0" fontId="2" fillId="0" borderId="0"/>
    <xf numFmtId="165" fontId="3" fillId="0" borderId="0" applyBorder="0" applyProtection="0"/>
  </cellStyleXfs>
  <cellXfs count="278">
    <xf numFmtId="0" fontId="0" fillId="0" borderId="0" xfId="0"/>
    <xf numFmtId="0" fontId="0" fillId="0" borderId="20" xfId="0" applyBorder="1" applyAlignment="1">
      <alignment horizontal="center"/>
    </xf>
    <xf numFmtId="0" fontId="19" fillId="10" borderId="19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9" fontId="16" fillId="8" borderId="13" xfId="1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wrapText="1"/>
    </xf>
    <xf numFmtId="2" fontId="7" fillId="2" borderId="6" xfId="6" applyNumberFormat="1" applyFont="1" applyFill="1" applyBorder="1" applyAlignment="1">
      <alignment horizontal="left" vertical="center"/>
    </xf>
    <xf numFmtId="2" fontId="7" fillId="2" borderId="7" xfId="6" applyNumberFormat="1" applyFont="1" applyFill="1" applyBorder="1" applyAlignment="1">
      <alignment horizontal="left" vertical="center"/>
    </xf>
    <xf numFmtId="1" fontId="11" fillId="3" borderId="5" xfId="6" applyNumberFormat="1" applyFont="1" applyFill="1" applyBorder="1" applyAlignment="1" applyProtection="1">
      <alignment horizontal="center" vertical="center"/>
      <protection locked="0"/>
    </xf>
    <xf numFmtId="1" fontId="11" fillId="3" borderId="4" xfId="6" applyNumberFormat="1" applyFont="1" applyFill="1" applyBorder="1" applyAlignment="1" applyProtection="1">
      <alignment horizontal="center" vertical="center"/>
      <protection locked="0"/>
    </xf>
    <xf numFmtId="0" fontId="4" fillId="2" borderId="3" xfId="5" applyNumberFormat="1" applyFont="1" applyFill="1" applyBorder="1" applyAlignment="1" applyProtection="1">
      <alignment horizontal="center" vertical="center" wrapText="1"/>
    </xf>
    <xf numFmtId="0" fontId="5" fillId="2" borderId="0" xfId="6" applyFont="1" applyFill="1" applyAlignment="1">
      <alignment horizontal="center" vertical="center" wrapText="1"/>
    </xf>
    <xf numFmtId="1" fontId="2" fillId="2" borderId="0" xfId="6" applyNumberFormat="1" applyFill="1" applyAlignment="1" applyProtection="1">
      <alignment horizontal="center" vertical="center"/>
      <protection locked="0"/>
    </xf>
    <xf numFmtId="49" fontId="2" fillId="2" borderId="0" xfId="6" applyNumberFormat="1" applyFill="1" applyAlignment="1" applyProtection="1">
      <alignment horizontal="center" vertical="center"/>
      <protection locked="0"/>
    </xf>
    <xf numFmtId="0" fontId="2" fillId="2" borderId="0" xfId="6" applyFill="1" applyAlignment="1" applyProtection="1">
      <alignment wrapText="1"/>
      <protection locked="0"/>
    </xf>
    <xf numFmtId="164" fontId="4" fillId="2" borderId="0" xfId="5" applyFont="1" applyFill="1" applyBorder="1" applyAlignment="1" applyProtection="1">
      <alignment horizontal="center" vertical="center"/>
      <protection locked="0"/>
    </xf>
    <xf numFmtId="0" fontId="2" fillId="2" borderId="0" xfId="6" applyFill="1" applyAlignment="1" applyProtection="1">
      <alignment horizontal="center" vertical="center"/>
      <protection locked="0"/>
    </xf>
    <xf numFmtId="2" fontId="2" fillId="2" borderId="0" xfId="6" applyNumberFormat="1" applyFill="1" applyAlignment="1" applyProtection="1">
      <alignment horizontal="center" vertical="center"/>
      <protection locked="0"/>
    </xf>
    <xf numFmtId="0" fontId="2" fillId="2" borderId="0" xfId="6" applyFill="1" applyAlignment="1" applyProtection="1">
      <alignment horizontal="left" vertical="center"/>
      <protection locked="0"/>
    </xf>
    <xf numFmtId="0" fontId="2" fillId="2" borderId="0" xfId="6" applyFill="1" applyAlignment="1" applyProtection="1">
      <alignment vertical="center"/>
      <protection locked="0"/>
    </xf>
    <xf numFmtId="1" fontId="5" fillId="2" borderId="0" xfId="6" applyNumberFormat="1" applyFont="1" applyFill="1" applyAlignment="1" applyProtection="1">
      <alignment horizontal="center" vertical="center"/>
      <protection locked="0"/>
    </xf>
    <xf numFmtId="49" fontId="6" fillId="2" borderId="0" xfId="6" applyNumberFormat="1" applyFont="1" applyFill="1" applyAlignment="1" applyProtection="1">
      <alignment horizontal="center" vertical="center"/>
      <protection locked="0"/>
    </xf>
    <xf numFmtId="166" fontId="5" fillId="2" borderId="0" xfId="6" applyNumberFormat="1" applyFont="1" applyFill="1" applyAlignment="1" applyProtection="1">
      <alignment horizontal="center" vertical="center" wrapText="1"/>
      <protection locked="0"/>
    </xf>
    <xf numFmtId="164" fontId="5" fillId="2" borderId="0" xfId="5" applyFont="1" applyFill="1" applyBorder="1" applyAlignment="1" applyProtection="1">
      <alignment horizontal="center" vertical="center"/>
      <protection locked="0"/>
    </xf>
    <xf numFmtId="166" fontId="5" fillId="2" borderId="0" xfId="6" applyNumberFormat="1" applyFont="1" applyFill="1" applyAlignment="1" applyProtection="1">
      <alignment horizontal="center" vertical="center"/>
      <protection locked="0"/>
    </xf>
    <xf numFmtId="2" fontId="5" fillId="2" borderId="0" xfId="6" applyNumberFormat="1" applyFont="1" applyFill="1" applyAlignment="1" applyProtection="1">
      <alignment horizontal="center" vertical="center"/>
      <protection locked="0"/>
    </xf>
    <xf numFmtId="0" fontId="6" fillId="2" borderId="0" xfId="6" applyFont="1" applyFill="1" applyAlignment="1" applyProtection="1">
      <alignment horizontal="left" vertical="center"/>
      <protection locked="0"/>
    </xf>
    <xf numFmtId="0" fontId="6" fillId="2" borderId="0" xfId="6" applyFont="1" applyFill="1" applyAlignment="1" applyProtection="1">
      <alignment vertical="center"/>
      <protection locked="0"/>
    </xf>
    <xf numFmtId="1" fontId="6" fillId="2" borderId="0" xfId="6" applyNumberFormat="1" applyFont="1" applyFill="1" applyAlignment="1" applyProtection="1">
      <alignment horizontal="center" vertical="center"/>
      <protection locked="0"/>
    </xf>
    <xf numFmtId="0" fontId="5" fillId="2" borderId="0" xfId="6" applyFont="1" applyFill="1" applyAlignment="1">
      <alignment horizontal="center" vertical="center" wrapText="1"/>
    </xf>
    <xf numFmtId="1" fontId="7" fillId="2" borderId="0" xfId="6" applyNumberFormat="1" applyFont="1" applyFill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left" vertical="center"/>
      <protection locked="0"/>
    </xf>
    <xf numFmtId="0" fontId="7" fillId="2" borderId="0" xfId="6" applyFont="1" applyFill="1" applyAlignment="1" applyProtection="1">
      <alignment vertical="center"/>
      <protection locked="0"/>
    </xf>
    <xf numFmtId="0" fontId="7" fillId="2" borderId="0" xfId="6" applyFont="1" applyFill="1" applyAlignment="1" applyProtection="1">
      <alignment horizontal="justify" vertical="center" wrapText="1"/>
      <protection locked="0"/>
    </xf>
    <xf numFmtId="164" fontId="7" fillId="2" borderId="0" xfId="5" applyFont="1" applyFill="1" applyBorder="1" applyAlignment="1" applyProtection="1">
      <alignment horizontal="center" vertical="center"/>
      <protection locked="0"/>
    </xf>
    <xf numFmtId="0" fontId="8" fillId="2" borderId="0" xfId="4" applyFill="1" applyBorder="1" applyAlignment="1" applyProtection="1">
      <alignment horizontal="center" vertical="center"/>
      <protection locked="0"/>
    </xf>
    <xf numFmtId="2" fontId="8" fillId="2" borderId="0" xfId="4" applyNumberFormat="1" applyFill="1" applyBorder="1" applyAlignment="1" applyProtection="1">
      <alignment horizontal="center" vertical="center"/>
      <protection locked="0"/>
    </xf>
    <xf numFmtId="1" fontId="5" fillId="3" borderId="1" xfId="6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6" applyFont="1" applyFill="1" applyBorder="1" applyAlignment="1" applyProtection="1">
      <alignment horizontal="center" vertical="center" wrapText="1"/>
      <protection locked="0"/>
    </xf>
    <xf numFmtId="164" fontId="5" fillId="3" borderId="1" xfId="5" applyFont="1" applyFill="1" applyBorder="1" applyAlignment="1" applyProtection="1">
      <alignment horizontal="center" vertical="center" wrapText="1"/>
      <protection locked="0"/>
    </xf>
    <xf numFmtId="2" fontId="5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7" applyNumberFormat="1" applyFont="1" applyFill="1" applyBorder="1" applyAlignment="1" applyProtection="1">
      <alignment horizontal="center" vertical="center" wrapText="1"/>
    </xf>
    <xf numFmtId="167" fontId="10" fillId="3" borderId="1" xfId="6" applyNumberFormat="1" applyFont="1" applyFill="1" applyBorder="1" applyAlignment="1">
      <alignment horizontal="left" vertical="center" wrapText="1"/>
    </xf>
    <xf numFmtId="164" fontId="4" fillId="3" borderId="1" xfId="5" applyFont="1" applyFill="1" applyBorder="1" applyAlignment="1" applyProtection="1">
      <alignment horizontal="center" vertical="center" wrapText="1"/>
    </xf>
    <xf numFmtId="167" fontId="4" fillId="3" borderId="1" xfId="6" applyNumberFormat="1" applyFont="1" applyFill="1" applyBorder="1" applyAlignment="1">
      <alignment horizontal="center" vertical="center" wrapText="1"/>
    </xf>
    <xf numFmtId="2" fontId="4" fillId="3" borderId="1" xfId="6" applyNumberFormat="1" applyFont="1" applyFill="1" applyBorder="1" applyAlignment="1">
      <alignment horizontal="center" vertical="center" wrapText="1"/>
    </xf>
    <xf numFmtId="164" fontId="10" fillId="3" borderId="1" xfId="2" applyFont="1" applyFill="1" applyBorder="1" applyAlignment="1" applyProtection="1">
      <alignment horizontal="center" vertical="center" wrapText="1"/>
    </xf>
    <xf numFmtId="164" fontId="10" fillId="3" borderId="1" xfId="5" applyFont="1" applyFill="1" applyBorder="1" applyAlignment="1" applyProtection="1">
      <alignment horizontal="center" vertical="center" wrapText="1"/>
    </xf>
    <xf numFmtId="0" fontId="10" fillId="3" borderId="0" xfId="6" applyFont="1" applyFill="1" applyAlignment="1" applyProtection="1">
      <alignment horizontal="left" vertical="center" wrapText="1"/>
      <protection locked="0"/>
    </xf>
    <xf numFmtId="0" fontId="10" fillId="3" borderId="0" xfId="6" applyFont="1" applyFill="1" applyAlignment="1" applyProtection="1">
      <alignment vertical="center" wrapText="1"/>
      <protection locked="0"/>
    </xf>
    <xf numFmtId="0" fontId="10" fillId="3" borderId="1" xfId="6" applyFont="1" applyFill="1" applyBorder="1" applyAlignment="1" applyProtection="1">
      <alignment vertical="center" wrapText="1"/>
      <protection locked="0"/>
    </xf>
    <xf numFmtId="1" fontId="4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7" applyNumberFormat="1" applyFont="1" applyFill="1" applyBorder="1" applyAlignment="1" applyProtection="1">
      <alignment horizontal="center" vertical="center" wrapText="1"/>
    </xf>
    <xf numFmtId="2" fontId="4" fillId="2" borderId="2" xfId="6" applyNumberFormat="1" applyFont="1" applyFill="1" applyBorder="1" applyAlignment="1">
      <alignment horizontal="left" wrapText="1"/>
    </xf>
    <xf numFmtId="168" fontId="4" fillId="0" borderId="2" xfId="1" applyFont="1" applyBorder="1" applyAlignment="1" applyProtection="1">
      <alignment horizontal="center" wrapText="1"/>
    </xf>
    <xf numFmtId="164" fontId="4" fillId="2" borderId="2" xfId="5" applyFont="1" applyFill="1" applyBorder="1" applyAlignment="1" applyProtection="1">
      <alignment horizontal="center" wrapText="1"/>
    </xf>
    <xf numFmtId="2" fontId="4" fillId="2" borderId="2" xfId="6" applyNumberFormat="1" applyFont="1" applyFill="1" applyBorder="1" applyAlignment="1">
      <alignment horizontal="center" wrapText="1"/>
    </xf>
    <xf numFmtId="4" fontId="4" fillId="2" borderId="2" xfId="6" applyNumberFormat="1" applyFont="1" applyFill="1" applyBorder="1" applyAlignment="1">
      <alignment horizontal="center" vertical="center" wrapText="1"/>
    </xf>
    <xf numFmtId="164" fontId="4" fillId="2" borderId="2" xfId="2" applyFont="1" applyFill="1" applyBorder="1" applyAlignment="1" applyProtection="1">
      <alignment horizontal="center" vertical="center" wrapText="1"/>
    </xf>
    <xf numFmtId="0" fontId="4" fillId="2" borderId="2" xfId="5" applyNumberFormat="1" applyFont="1" applyFill="1" applyBorder="1" applyAlignment="1" applyProtection="1">
      <alignment horizontal="center" wrapText="1"/>
    </xf>
    <xf numFmtId="0" fontId="10" fillId="2" borderId="0" xfId="6" applyFont="1" applyFill="1" applyAlignment="1" applyProtection="1">
      <alignment horizontal="left" vertical="center" wrapText="1"/>
      <protection locked="0"/>
    </xf>
    <xf numFmtId="0" fontId="10" fillId="2" borderId="0" xfId="6" applyFont="1" applyFill="1" applyAlignment="1" applyProtection="1">
      <alignment vertical="center" wrapText="1"/>
      <protection locked="0"/>
    </xf>
    <xf numFmtId="0" fontId="10" fillId="2" borderId="1" xfId="6" applyFont="1" applyFill="1" applyBorder="1" applyAlignment="1" applyProtection="1">
      <alignment vertical="center" wrapText="1"/>
      <protection locked="0"/>
    </xf>
    <xf numFmtId="1" fontId="4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7" applyNumberFormat="1" applyFont="1" applyFill="1" applyBorder="1" applyAlignment="1" applyProtection="1">
      <alignment horizontal="center" vertical="center" wrapText="1"/>
    </xf>
    <xf numFmtId="2" fontId="10" fillId="4" borderId="2" xfId="6" applyNumberFormat="1" applyFont="1" applyFill="1" applyBorder="1" applyAlignment="1">
      <alignment horizontal="left" wrapText="1"/>
    </xf>
    <xf numFmtId="164" fontId="4" fillId="4" borderId="2" xfId="5" applyFont="1" applyFill="1" applyBorder="1" applyAlignment="1" applyProtection="1">
      <alignment horizontal="center" wrapText="1"/>
    </xf>
    <xf numFmtId="2" fontId="4" fillId="4" borderId="2" xfId="6" applyNumberFormat="1" applyFont="1" applyFill="1" applyBorder="1" applyAlignment="1">
      <alignment horizontal="center" wrapText="1"/>
    </xf>
    <xf numFmtId="4" fontId="4" fillId="4" borderId="2" xfId="6" applyNumberFormat="1" applyFont="1" applyFill="1" applyBorder="1" applyAlignment="1">
      <alignment horizontal="center" vertical="center" wrapText="1"/>
    </xf>
    <xf numFmtId="164" fontId="10" fillId="4" borderId="2" xfId="2" applyFont="1" applyFill="1" applyBorder="1" applyAlignment="1" applyProtection="1">
      <alignment horizontal="center" vertical="center" wrapText="1"/>
    </xf>
    <xf numFmtId="0" fontId="4" fillId="4" borderId="2" xfId="5" applyNumberFormat="1" applyFont="1" applyFill="1" applyBorder="1" applyAlignment="1" applyProtection="1">
      <alignment horizontal="center" wrapText="1"/>
    </xf>
    <xf numFmtId="0" fontId="10" fillId="4" borderId="0" xfId="6" applyFont="1" applyFill="1" applyAlignment="1" applyProtection="1">
      <alignment horizontal="left" vertical="center" wrapText="1"/>
      <protection locked="0"/>
    </xf>
    <xf numFmtId="0" fontId="10" fillId="4" borderId="0" xfId="6" applyFont="1" applyFill="1" applyAlignment="1" applyProtection="1">
      <alignment vertical="center" wrapText="1"/>
      <protection locked="0"/>
    </xf>
    <xf numFmtId="0" fontId="10" fillId="4" borderId="1" xfId="6" applyFont="1" applyFill="1" applyBorder="1" applyAlignment="1" applyProtection="1">
      <alignment vertical="center" wrapText="1"/>
      <protection locked="0"/>
    </xf>
    <xf numFmtId="168" fontId="4" fillId="0" borderId="2" xfId="1" applyFont="1" applyBorder="1" applyAlignment="1" applyProtection="1">
      <alignment horizontal="left" wrapText="1"/>
    </xf>
    <xf numFmtId="2" fontId="4" fillId="2" borderId="2" xfId="6" applyNumberFormat="1" applyFont="1" applyFill="1" applyBorder="1" applyAlignment="1">
      <alignment horizontal="center" vertical="center" wrapText="1"/>
    </xf>
    <xf numFmtId="168" fontId="4" fillId="2" borderId="2" xfId="1" applyFont="1" applyFill="1" applyBorder="1" applyAlignment="1" applyProtection="1">
      <alignment horizontal="left" wrapText="1"/>
    </xf>
    <xf numFmtId="2" fontId="4" fillId="4" borderId="2" xfId="6" applyNumberFormat="1" applyFont="1" applyFill="1" applyBorder="1" applyAlignment="1">
      <alignment horizontal="center" vertical="center" wrapText="1"/>
    </xf>
    <xf numFmtId="1" fontId="10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7" applyNumberFormat="1" applyFont="1" applyFill="1" applyBorder="1" applyAlignment="1" applyProtection="1">
      <alignment horizontal="center" vertical="center" wrapText="1"/>
    </xf>
    <xf numFmtId="2" fontId="10" fillId="4" borderId="2" xfId="6" applyNumberFormat="1" applyFont="1" applyFill="1" applyBorder="1" applyAlignment="1">
      <alignment horizontal="left" vertical="center" wrapText="1"/>
    </xf>
    <xf numFmtId="164" fontId="10" fillId="4" borderId="2" xfId="5" applyFont="1" applyFill="1" applyBorder="1" applyAlignment="1" applyProtection="1">
      <alignment horizontal="center" vertical="center" wrapText="1"/>
    </xf>
    <xf numFmtId="2" fontId="10" fillId="4" borderId="2" xfId="6" applyNumberFormat="1" applyFont="1" applyFill="1" applyBorder="1" applyAlignment="1">
      <alignment horizontal="center" vertical="center" wrapText="1"/>
    </xf>
    <xf numFmtId="4" fontId="10" fillId="4" borderId="2" xfId="6" applyNumberFormat="1" applyFont="1" applyFill="1" applyBorder="1" applyAlignment="1">
      <alignment horizontal="center" vertical="center" wrapText="1"/>
    </xf>
    <xf numFmtId="0" fontId="10" fillId="4" borderId="2" xfId="5" applyNumberFormat="1" applyFont="1" applyFill="1" applyBorder="1" applyAlignment="1" applyProtection="1">
      <alignment horizontal="center" vertical="center" wrapText="1"/>
    </xf>
    <xf numFmtId="167" fontId="10" fillId="3" borderId="1" xfId="6" applyNumberFormat="1" applyFont="1" applyFill="1" applyBorder="1" applyAlignment="1">
      <alignment horizontal="left" wrapText="1"/>
    </xf>
    <xf numFmtId="0" fontId="4" fillId="3" borderId="1" xfId="5" applyNumberFormat="1" applyFont="1" applyFill="1" applyBorder="1" applyAlignment="1" applyProtection="1">
      <alignment horizontal="center" vertical="center" wrapText="1"/>
    </xf>
    <xf numFmtId="2" fontId="4" fillId="0" borderId="2" xfId="6" applyNumberFormat="1" applyFont="1" applyBorder="1" applyAlignment="1">
      <alignment horizontal="center" wrapText="1"/>
    </xf>
    <xf numFmtId="164" fontId="4" fillId="4" borderId="2" xfId="5" applyFont="1" applyFill="1" applyBorder="1" applyAlignment="1" applyProtection="1">
      <alignment horizontal="center" vertical="center" wrapText="1"/>
    </xf>
    <xf numFmtId="0" fontId="10" fillId="4" borderId="2" xfId="5" applyNumberFormat="1" applyFont="1" applyFill="1" applyBorder="1" applyAlignment="1" applyProtection="1">
      <alignment horizontal="center" wrapText="1"/>
    </xf>
    <xf numFmtId="164" fontId="4" fillId="2" borderId="2" xfId="5" applyFont="1" applyFill="1" applyBorder="1" applyAlignment="1" applyProtection="1">
      <alignment horizontal="center" vertical="center" wrapText="1"/>
    </xf>
    <xf numFmtId="9" fontId="4" fillId="2" borderId="2" xfId="5" applyNumberFormat="1" applyFont="1" applyFill="1" applyBorder="1" applyAlignment="1" applyProtection="1">
      <alignment horizontal="center" wrapText="1"/>
    </xf>
    <xf numFmtId="2" fontId="4" fillId="2" borderId="2" xfId="5" applyNumberFormat="1" applyFont="1" applyFill="1" applyBorder="1" applyAlignment="1" applyProtection="1">
      <alignment horizontal="center" wrapText="1"/>
    </xf>
    <xf numFmtId="168" fontId="10" fillId="4" borderId="2" xfId="1" applyFont="1" applyFill="1" applyBorder="1" applyAlignment="1" applyProtection="1">
      <alignment horizontal="center" vertical="center" wrapText="1"/>
    </xf>
    <xf numFmtId="0" fontId="4" fillId="0" borderId="2" xfId="5" applyNumberFormat="1" applyFont="1" applyBorder="1" applyAlignment="1" applyProtection="1">
      <alignment horizontal="center" wrapText="1"/>
    </xf>
    <xf numFmtId="1" fontId="10" fillId="5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5" borderId="2" xfId="7" applyNumberFormat="1" applyFont="1" applyFill="1" applyBorder="1" applyAlignment="1" applyProtection="1">
      <alignment horizontal="center" vertical="center" wrapText="1"/>
    </xf>
    <xf numFmtId="2" fontId="10" fillId="5" borderId="2" xfId="6" applyNumberFormat="1" applyFont="1" applyFill="1" applyBorder="1" applyAlignment="1">
      <alignment horizontal="left" wrapText="1"/>
    </xf>
    <xf numFmtId="164" fontId="10" fillId="5" borderId="2" xfId="5" applyFont="1" applyFill="1" applyBorder="1" applyAlignment="1" applyProtection="1">
      <alignment horizontal="center" vertical="center" wrapText="1"/>
    </xf>
    <xf numFmtId="2" fontId="10" fillId="5" borderId="2" xfId="6" applyNumberFormat="1" applyFont="1" applyFill="1" applyBorder="1" applyAlignment="1">
      <alignment horizontal="center" vertical="center" wrapText="1"/>
    </xf>
    <xf numFmtId="4" fontId="10" fillId="5" borderId="2" xfId="6" applyNumberFormat="1" applyFont="1" applyFill="1" applyBorder="1" applyAlignment="1">
      <alignment horizontal="center" vertical="center" wrapText="1"/>
    </xf>
    <xf numFmtId="0" fontId="10" fillId="5" borderId="2" xfId="5" applyNumberFormat="1" applyFont="1" applyFill="1" applyBorder="1" applyAlignment="1" applyProtection="1">
      <alignment horizontal="center" wrapText="1"/>
    </xf>
    <xf numFmtId="0" fontId="10" fillId="5" borderId="0" xfId="6" applyFont="1" applyFill="1" applyAlignment="1" applyProtection="1">
      <alignment horizontal="left" vertical="center" wrapText="1"/>
      <protection locked="0"/>
    </xf>
    <xf numFmtId="0" fontId="10" fillId="5" borderId="0" xfId="6" applyFont="1" applyFill="1" applyAlignment="1" applyProtection="1">
      <alignment vertical="center" wrapText="1"/>
      <protection locked="0"/>
    </xf>
    <xf numFmtId="0" fontId="10" fillId="5" borderId="1" xfId="6" applyFont="1" applyFill="1" applyBorder="1" applyAlignment="1" applyProtection="1">
      <alignment vertical="center" wrapText="1"/>
      <protection locked="0"/>
    </xf>
    <xf numFmtId="168" fontId="10" fillId="2" borderId="0" xfId="1" applyFont="1" applyFill="1" applyBorder="1" applyAlignment="1" applyProtection="1">
      <alignment vertical="center" wrapText="1"/>
      <protection locked="0"/>
    </xf>
    <xf numFmtId="168" fontId="10" fillId="2" borderId="0" xfId="6" applyNumberFormat="1" applyFont="1" applyFill="1" applyAlignment="1" applyProtection="1">
      <alignment vertical="center" wrapText="1"/>
      <protection locked="0"/>
    </xf>
    <xf numFmtId="2" fontId="10" fillId="0" borderId="2" xfId="6" applyNumberFormat="1" applyFont="1" applyBorder="1" applyAlignment="1">
      <alignment horizontal="left" wrapText="1"/>
    </xf>
    <xf numFmtId="2" fontId="10" fillId="5" borderId="2" xfId="6" applyNumberFormat="1" applyFont="1" applyFill="1" applyBorder="1" applyAlignment="1">
      <alignment horizontal="left" vertical="center"/>
    </xf>
    <xf numFmtId="2" fontId="10" fillId="0" borderId="2" xfId="6" applyNumberFormat="1" applyFont="1" applyBorder="1" applyAlignment="1">
      <alignment horizontal="left" vertical="center"/>
    </xf>
    <xf numFmtId="168" fontId="10" fillId="5" borderId="0" xfId="6" applyNumberFormat="1" applyFont="1" applyFill="1" applyAlignment="1" applyProtection="1">
      <alignment vertical="center" wrapText="1"/>
      <protection locked="0"/>
    </xf>
    <xf numFmtId="168" fontId="10" fillId="0" borderId="2" xfId="1" applyFont="1" applyBorder="1" applyAlignment="1" applyProtection="1">
      <alignment horizontal="left" vertical="center"/>
    </xf>
    <xf numFmtId="2" fontId="10" fillId="5" borderId="2" xfId="6" applyNumberFormat="1" applyFont="1" applyFill="1" applyBorder="1" applyAlignment="1">
      <alignment horizontal="left" vertical="center" wrapText="1"/>
    </xf>
    <xf numFmtId="2" fontId="10" fillId="0" borderId="2" xfId="6" applyNumberFormat="1" applyFont="1" applyBorder="1" applyAlignment="1">
      <alignment horizontal="left" vertical="center" wrapText="1"/>
    </xf>
    <xf numFmtId="168" fontId="10" fillId="0" borderId="2" xfId="1" applyFont="1" applyBorder="1" applyAlignment="1" applyProtection="1">
      <alignment horizontal="left" vertical="center" wrapText="1"/>
    </xf>
    <xf numFmtId="168" fontId="10" fillId="5" borderId="0" xfId="1" applyFont="1" applyFill="1" applyBorder="1" applyAlignment="1" applyProtection="1">
      <alignment vertical="center" wrapText="1"/>
      <protection locked="0"/>
    </xf>
    <xf numFmtId="0" fontId="10" fillId="3" borderId="2" xfId="7" applyNumberFormat="1" applyFont="1" applyFill="1" applyBorder="1" applyAlignment="1" applyProtection="1">
      <alignment horizontal="center" vertical="center" wrapText="1"/>
    </xf>
    <xf numFmtId="2" fontId="10" fillId="3" borderId="2" xfId="6" applyNumberFormat="1" applyFont="1" applyFill="1" applyBorder="1" applyAlignment="1">
      <alignment horizontal="left" wrapText="1"/>
    </xf>
    <xf numFmtId="164" fontId="4" fillId="3" borderId="2" xfId="5" applyFont="1" applyFill="1" applyBorder="1" applyAlignment="1" applyProtection="1">
      <alignment horizontal="center" vertical="center" wrapText="1"/>
    </xf>
    <xf numFmtId="2" fontId="4" fillId="3" borderId="2" xfId="6" applyNumberFormat="1" applyFont="1" applyFill="1" applyBorder="1" applyAlignment="1">
      <alignment horizontal="center" vertical="center" wrapText="1"/>
    </xf>
    <xf numFmtId="4" fontId="4" fillId="3" borderId="2" xfId="6" applyNumberFormat="1" applyFont="1" applyFill="1" applyBorder="1" applyAlignment="1">
      <alignment horizontal="center" vertical="center" wrapText="1"/>
    </xf>
    <xf numFmtId="4" fontId="10" fillId="3" borderId="2" xfId="6" applyNumberFormat="1" applyFont="1" applyFill="1" applyBorder="1" applyAlignment="1">
      <alignment horizontal="center" vertical="center" wrapText="1"/>
    </xf>
    <xf numFmtId="0" fontId="10" fillId="3" borderId="2" xfId="5" applyNumberFormat="1" applyFont="1" applyFill="1" applyBorder="1" applyAlignment="1" applyProtection="1">
      <alignment horizontal="center" vertical="center" wrapText="1"/>
    </xf>
    <xf numFmtId="1" fontId="4" fillId="5" borderId="2" xfId="6" applyNumberFormat="1" applyFont="1" applyFill="1" applyBorder="1" applyAlignment="1" applyProtection="1">
      <alignment horizontal="center" vertical="center" wrapText="1"/>
      <protection locked="0"/>
    </xf>
    <xf numFmtId="164" fontId="4" fillId="5" borderId="2" xfId="5" applyFont="1" applyFill="1" applyBorder="1" applyAlignment="1" applyProtection="1">
      <alignment horizontal="center" vertical="center" wrapText="1"/>
    </xf>
    <xf numFmtId="2" fontId="4" fillId="5" borderId="2" xfId="6" applyNumberFormat="1" applyFont="1" applyFill="1" applyBorder="1" applyAlignment="1">
      <alignment horizontal="center" vertical="center" wrapText="1"/>
    </xf>
    <xf numFmtId="4" fontId="4" fillId="5" borderId="2" xfId="6" applyNumberFormat="1" applyFont="1" applyFill="1" applyBorder="1" applyAlignment="1">
      <alignment horizontal="center" vertical="center" wrapText="1"/>
    </xf>
    <xf numFmtId="1" fontId="10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7" applyNumberFormat="1" applyFont="1" applyFill="1" applyBorder="1" applyAlignment="1" applyProtection="1">
      <alignment horizontal="center" vertical="center" wrapText="1"/>
    </xf>
    <xf numFmtId="2" fontId="10" fillId="2" borderId="2" xfId="6" applyNumberFormat="1" applyFont="1" applyFill="1" applyBorder="1" applyAlignment="1">
      <alignment horizontal="left" wrapText="1"/>
    </xf>
    <xf numFmtId="164" fontId="10" fillId="2" borderId="2" xfId="5" applyFont="1" applyFill="1" applyBorder="1" applyAlignment="1" applyProtection="1">
      <alignment horizontal="center" vertical="center" wrapText="1"/>
    </xf>
    <xf numFmtId="2" fontId="10" fillId="2" borderId="2" xfId="6" applyNumberFormat="1" applyFont="1" applyFill="1" applyBorder="1" applyAlignment="1">
      <alignment horizontal="center" vertical="center" wrapText="1"/>
    </xf>
    <xf numFmtId="0" fontId="10" fillId="2" borderId="2" xfId="5" applyNumberFormat="1" applyFont="1" applyFill="1" applyBorder="1" applyAlignment="1" applyProtection="1">
      <alignment horizontal="center" wrapText="1"/>
    </xf>
    <xf numFmtId="164" fontId="10" fillId="0" borderId="2" xfId="5" applyFont="1" applyBorder="1" applyAlignment="1" applyProtection="1">
      <alignment horizontal="center" vertical="center" wrapText="1"/>
    </xf>
    <xf numFmtId="9" fontId="10" fillId="2" borderId="0" xfId="6" applyNumberFormat="1" applyFont="1" applyFill="1" applyAlignment="1" applyProtection="1">
      <alignment horizontal="left" vertical="center" wrapText="1"/>
      <protection locked="0"/>
    </xf>
    <xf numFmtId="9" fontId="10" fillId="2" borderId="0" xfId="3" applyFont="1" applyFill="1" applyBorder="1" applyAlignment="1" applyProtection="1">
      <alignment horizontal="left" vertical="center" wrapText="1"/>
      <protection locked="0"/>
    </xf>
    <xf numFmtId="2" fontId="10" fillId="3" borderId="2" xfId="6" applyNumberFormat="1" applyFont="1" applyFill="1" applyBorder="1" applyAlignment="1">
      <alignment horizontal="left" vertical="center" wrapText="1"/>
    </xf>
    <xf numFmtId="164" fontId="10" fillId="2" borderId="2" xfId="5" applyFont="1" applyFill="1" applyBorder="1" applyAlignment="1" applyProtection="1">
      <alignment horizontal="center" wrapText="1"/>
    </xf>
    <xf numFmtId="2" fontId="10" fillId="2" borderId="2" xfId="6" applyNumberFormat="1" applyFont="1" applyFill="1" applyBorder="1" applyAlignment="1">
      <alignment horizontal="center" wrapText="1"/>
    </xf>
    <xf numFmtId="0" fontId="4" fillId="2" borderId="0" xfId="6" applyFont="1" applyFill="1" applyAlignment="1" applyProtection="1">
      <alignment horizontal="left" vertical="center" wrapText="1"/>
      <protection locked="0"/>
    </xf>
    <xf numFmtId="0" fontId="4" fillId="2" borderId="0" xfId="6" applyFont="1" applyFill="1" applyAlignment="1" applyProtection="1">
      <alignment vertical="center" wrapText="1"/>
      <protection locked="0"/>
    </xf>
    <xf numFmtId="0" fontId="4" fillId="2" borderId="1" xfId="6" applyFont="1" applyFill="1" applyBorder="1" applyAlignment="1" applyProtection="1">
      <alignment vertical="center" wrapText="1"/>
      <protection locked="0"/>
    </xf>
    <xf numFmtId="1" fontId="10" fillId="6" borderId="2" xfId="6" applyNumberFormat="1" applyFont="1" applyFill="1" applyBorder="1" applyAlignment="1" applyProtection="1">
      <alignment horizontal="center" vertical="center" wrapText="1"/>
      <protection locked="0"/>
    </xf>
    <xf numFmtId="0" fontId="10" fillId="6" borderId="2" xfId="7" applyNumberFormat="1" applyFont="1" applyFill="1" applyBorder="1" applyAlignment="1" applyProtection="1">
      <alignment horizontal="center" vertical="center" wrapText="1"/>
    </xf>
    <xf numFmtId="2" fontId="10" fillId="6" borderId="2" xfId="6" applyNumberFormat="1" applyFont="1" applyFill="1" applyBorder="1" applyAlignment="1">
      <alignment horizontal="left" wrapText="1"/>
    </xf>
    <xf numFmtId="164" fontId="10" fillId="6" borderId="2" xfId="5" applyFont="1" applyFill="1" applyBorder="1" applyAlignment="1" applyProtection="1">
      <alignment horizontal="center" vertical="center" wrapText="1"/>
    </xf>
    <xf numFmtId="2" fontId="10" fillId="6" borderId="2" xfId="6" applyNumberFormat="1" applyFont="1" applyFill="1" applyBorder="1" applyAlignment="1">
      <alignment horizontal="center" vertical="center" wrapText="1"/>
    </xf>
    <xf numFmtId="4" fontId="10" fillId="6" borderId="2" xfId="6" applyNumberFormat="1" applyFont="1" applyFill="1" applyBorder="1" applyAlignment="1">
      <alignment horizontal="center" vertical="center" wrapText="1"/>
    </xf>
    <xf numFmtId="0" fontId="10" fillId="6" borderId="2" xfId="5" applyNumberFormat="1" applyFont="1" applyFill="1" applyBorder="1" applyAlignment="1" applyProtection="1">
      <alignment horizontal="center" wrapText="1"/>
    </xf>
    <xf numFmtId="0" fontId="10" fillId="6" borderId="0" xfId="6" applyFont="1" applyFill="1" applyAlignment="1" applyProtection="1">
      <alignment horizontal="left" vertical="center" wrapText="1"/>
      <protection locked="0"/>
    </xf>
    <xf numFmtId="0" fontId="10" fillId="6" borderId="0" xfId="6" applyFont="1" applyFill="1" applyAlignment="1" applyProtection="1">
      <alignment vertical="center" wrapText="1"/>
      <protection locked="0"/>
    </xf>
    <xf numFmtId="0" fontId="10" fillId="6" borderId="1" xfId="6" applyFont="1" applyFill="1" applyBorder="1" applyAlignment="1" applyProtection="1">
      <alignment vertical="center" wrapText="1"/>
      <protection locked="0"/>
    </xf>
    <xf numFmtId="0" fontId="11" fillId="0" borderId="3" xfId="6" applyFont="1" applyBorder="1" applyAlignment="1">
      <alignment horizontal="center"/>
    </xf>
    <xf numFmtId="2" fontId="10" fillId="2" borderId="2" xfId="6" applyNumberFormat="1" applyFont="1" applyFill="1" applyBorder="1" applyAlignment="1">
      <alignment horizontal="left" vertical="center" wrapText="1"/>
    </xf>
    <xf numFmtId="169" fontId="4" fillId="2" borderId="2" xfId="6" applyNumberFormat="1" applyFont="1" applyFill="1" applyBorder="1" applyAlignment="1">
      <alignment horizontal="center" vertical="center" wrapText="1"/>
    </xf>
    <xf numFmtId="0" fontId="10" fillId="2" borderId="2" xfId="5" applyNumberFormat="1" applyFont="1" applyFill="1" applyBorder="1" applyAlignment="1" applyProtection="1">
      <alignment horizontal="center" vertical="center" wrapText="1"/>
    </xf>
    <xf numFmtId="0" fontId="10" fillId="2" borderId="0" xfId="6" applyFont="1" applyFill="1" applyAlignment="1" applyProtection="1">
      <alignment horizontal="center" vertical="center" wrapText="1"/>
      <protection locked="0"/>
    </xf>
    <xf numFmtId="168" fontId="11" fillId="3" borderId="1" xfId="1" applyFont="1" applyFill="1" applyBorder="1" applyAlignment="1" applyProtection="1">
      <alignment horizontal="center" vertical="center"/>
      <protection locked="0"/>
    </xf>
    <xf numFmtId="168" fontId="2" fillId="2" borderId="0" xfId="1" applyFont="1" applyFill="1" applyBorder="1" applyAlignment="1" applyProtection="1">
      <alignment horizontal="center" vertical="center"/>
      <protection locked="0"/>
    </xf>
    <xf numFmtId="2" fontId="2" fillId="2" borderId="1" xfId="6" applyNumberFormat="1" applyFill="1" applyBorder="1" applyAlignment="1" applyProtection="1">
      <alignment horizontal="center" vertical="center"/>
      <protection locked="0"/>
    </xf>
    <xf numFmtId="2" fontId="11" fillId="2" borderId="1" xfId="6" applyNumberFormat="1" applyFont="1" applyFill="1" applyBorder="1" applyAlignment="1" applyProtection="1">
      <alignment horizontal="center" vertical="center"/>
      <protection locked="0"/>
    </xf>
    <xf numFmtId="164" fontId="10" fillId="2" borderId="1" xfId="5" applyFont="1" applyFill="1" applyBorder="1" applyAlignment="1" applyProtection="1">
      <alignment horizontal="center" vertical="center"/>
      <protection locked="0"/>
    </xf>
    <xf numFmtId="0" fontId="2" fillId="2" borderId="1" xfId="6" applyFill="1" applyBorder="1" applyAlignment="1" applyProtection="1">
      <alignment horizontal="left" vertical="center"/>
      <protection locked="0"/>
    </xf>
    <xf numFmtId="0" fontId="2" fillId="2" borderId="1" xfId="6" applyFill="1" applyBorder="1" applyAlignment="1" applyProtection="1">
      <alignment vertical="center"/>
      <protection locked="0"/>
    </xf>
    <xf numFmtId="164" fontId="4" fillId="2" borderId="1" xfId="2" applyFont="1" applyFill="1" applyBorder="1" applyAlignment="1" applyProtection="1">
      <alignment horizontal="center" vertical="center"/>
      <protection locked="0"/>
    </xf>
    <xf numFmtId="164" fontId="2" fillId="2" borderId="1" xfId="6" applyNumberFormat="1" applyFill="1" applyBorder="1" applyAlignment="1" applyProtection="1">
      <alignment vertical="center"/>
      <protection locked="0"/>
    </xf>
    <xf numFmtId="168" fontId="2" fillId="2" borderId="1" xfId="1" applyFont="1" applyFill="1" applyBorder="1" applyAlignment="1" applyProtection="1">
      <alignment horizontal="left" vertical="center"/>
      <protection locked="0"/>
    </xf>
    <xf numFmtId="168" fontId="4" fillId="2" borderId="0" xfId="1" applyFont="1" applyFill="1" applyBorder="1" applyAlignment="1" applyProtection="1">
      <alignment wrapText="1"/>
      <protection locked="0"/>
    </xf>
    <xf numFmtId="164" fontId="4" fillId="2" borderId="1" xfId="5" applyFont="1" applyFill="1" applyBorder="1" applyAlignment="1" applyProtection="1">
      <alignment horizontal="center" vertical="center"/>
      <protection locked="0"/>
    </xf>
    <xf numFmtId="0" fontId="2" fillId="2" borderId="1" xfId="6" applyFill="1" applyBorder="1" applyAlignment="1" applyProtection="1">
      <alignment horizontal="right" vertical="center"/>
      <protection locked="0"/>
    </xf>
    <xf numFmtId="164" fontId="2" fillId="2" borderId="1" xfId="2" applyFont="1" applyFill="1" applyBorder="1" applyAlignment="1" applyProtection="1">
      <alignment vertical="center"/>
      <protection locked="0"/>
    </xf>
    <xf numFmtId="168" fontId="11" fillId="2" borderId="0" xfId="6" applyNumberFormat="1" applyFont="1" applyFill="1" applyAlignment="1" applyProtection="1">
      <alignment wrapText="1"/>
      <protection locked="0"/>
    </xf>
    <xf numFmtId="164" fontId="2" fillId="2" borderId="0" xfId="2" applyFont="1" applyFill="1" applyBorder="1" applyAlignment="1" applyProtection="1">
      <alignment wrapText="1"/>
      <protection locked="0"/>
    </xf>
    <xf numFmtId="168" fontId="2" fillId="2" borderId="0" xfId="6" applyNumberFormat="1" applyFill="1" applyAlignment="1" applyProtection="1">
      <alignment wrapText="1"/>
      <protection locked="0"/>
    </xf>
    <xf numFmtId="164" fontId="5" fillId="2" borderId="0" xfId="5" applyFont="1" applyFill="1" applyBorder="1" applyAlignment="1" applyProtection="1">
      <alignment horizontal="center" vertical="center"/>
    </xf>
    <xf numFmtId="170" fontId="7" fillId="2" borderId="0" xfId="6" applyNumberFormat="1" applyFont="1" applyFill="1" applyAlignment="1">
      <alignment horizontal="left" vertical="center"/>
    </xf>
    <xf numFmtId="2" fontId="5" fillId="2" borderId="6" xfId="6" applyNumberFormat="1" applyFont="1" applyFill="1" applyBorder="1" applyAlignment="1">
      <alignment horizontal="left" vertical="center"/>
    </xf>
    <xf numFmtId="171" fontId="12" fillId="2" borderId="4" xfId="6" applyNumberFormat="1" applyFont="1" applyFill="1" applyBorder="1" applyAlignment="1">
      <alignment horizontal="left" vertical="center" wrapText="1"/>
    </xf>
    <xf numFmtId="164" fontId="5" fillId="2" borderId="7" xfId="5" applyFont="1" applyFill="1" applyBorder="1" applyAlignment="1" applyProtection="1">
      <alignment horizontal="center" vertical="center"/>
    </xf>
    <xf numFmtId="164" fontId="5" fillId="2" borderId="8" xfId="5" applyFont="1" applyFill="1" applyBorder="1" applyAlignment="1" applyProtection="1">
      <alignment horizontal="center" vertical="center"/>
    </xf>
    <xf numFmtId="172" fontId="5" fillId="2" borderId="9" xfId="6" applyNumberFormat="1" applyFont="1" applyFill="1" applyBorder="1" applyAlignment="1">
      <alignment horizontal="left" vertical="center" wrapText="1"/>
    </xf>
    <xf numFmtId="164" fontId="5" fillId="2" borderId="6" xfId="5" applyFont="1" applyFill="1" applyBorder="1" applyAlignment="1" applyProtection="1">
      <alignment horizontal="center" vertical="center"/>
    </xf>
    <xf numFmtId="164" fontId="5" fillId="2" borderId="10" xfId="5" applyFont="1" applyFill="1" applyBorder="1" applyAlignment="1" applyProtection="1">
      <alignment horizontal="center" vertical="center"/>
    </xf>
    <xf numFmtId="0" fontId="7" fillId="2" borderId="0" xfId="6" applyFont="1" applyFill="1" applyAlignment="1" applyProtection="1">
      <alignment horizontal="center" vertical="center"/>
      <protection locked="0"/>
    </xf>
    <xf numFmtId="2" fontId="7" fillId="2" borderId="0" xfId="6" applyNumberFormat="1" applyFont="1" applyFill="1" applyAlignment="1" applyProtection="1">
      <alignment horizontal="center" vertical="center"/>
      <protection locked="0"/>
    </xf>
    <xf numFmtId="1" fontId="5" fillId="2" borderId="1" xfId="6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6" applyFont="1" applyFill="1" applyBorder="1" applyAlignment="1" applyProtection="1">
      <alignment horizontal="center" vertical="center" wrapText="1"/>
      <protection locked="0"/>
    </xf>
    <xf numFmtId="164" fontId="5" fillId="2" borderId="1" xfId="5" applyFont="1" applyFill="1" applyBorder="1" applyAlignment="1" applyProtection="1">
      <alignment horizontal="center" vertical="center" wrapText="1"/>
      <protection locked="0"/>
    </xf>
    <xf numFmtId="2" fontId="5" fillId="2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5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5" borderId="1" xfId="7" applyNumberFormat="1" applyFont="1" applyFill="1" applyBorder="1" applyAlignment="1" applyProtection="1">
      <alignment horizontal="center" vertical="center" wrapText="1"/>
    </xf>
    <xf numFmtId="167" fontId="10" fillId="5" borderId="1" xfId="6" applyNumberFormat="1" applyFont="1" applyFill="1" applyBorder="1" applyAlignment="1">
      <alignment horizontal="left" wrapText="1"/>
    </xf>
    <xf numFmtId="164" fontId="4" fillId="5" borderId="1" xfId="5" applyFont="1" applyFill="1" applyBorder="1" applyAlignment="1" applyProtection="1">
      <alignment horizontal="center" vertical="center" wrapText="1"/>
    </xf>
    <xf numFmtId="167" fontId="4" fillId="5" borderId="1" xfId="6" applyNumberFormat="1" applyFont="1" applyFill="1" applyBorder="1" applyAlignment="1">
      <alignment horizontal="center" vertical="center" wrapText="1"/>
    </xf>
    <xf numFmtId="2" fontId="4" fillId="5" borderId="1" xfId="6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 applyProtection="1">
      <alignment horizontal="center" vertical="center" wrapText="1"/>
    </xf>
    <xf numFmtId="0" fontId="4" fillId="2" borderId="2" xfId="5" applyNumberFormat="1" applyFont="1" applyFill="1" applyBorder="1" applyAlignment="1" applyProtection="1">
      <alignment horizontal="center" vertical="center" wrapText="1"/>
    </xf>
    <xf numFmtId="167" fontId="10" fillId="5" borderId="1" xfId="6" applyNumberFormat="1" applyFont="1" applyFill="1" applyBorder="1" applyAlignment="1">
      <alignment horizontal="left" vertical="center" wrapText="1"/>
    </xf>
    <xf numFmtId="2" fontId="4" fillId="2" borderId="2" xfId="6" applyNumberFormat="1" applyFont="1" applyFill="1" applyBorder="1" applyAlignment="1">
      <alignment horizontal="left" vertical="center" wrapText="1"/>
    </xf>
    <xf numFmtId="173" fontId="10" fillId="2" borderId="0" xfId="6" applyNumberFormat="1" applyFont="1" applyFill="1" applyAlignment="1" applyProtection="1">
      <alignment vertical="center" wrapText="1"/>
      <protection locked="0"/>
    </xf>
    <xf numFmtId="0" fontId="2" fillId="0" borderId="0" xfId="6" applyAlignment="1">
      <alignment horizontal="center"/>
    </xf>
    <xf numFmtId="0" fontId="2" fillId="0" borderId="3" xfId="6" applyBorder="1" applyAlignment="1">
      <alignment horizontal="center"/>
    </xf>
    <xf numFmtId="4" fontId="10" fillId="2" borderId="2" xfId="6" applyNumberFormat="1" applyFont="1" applyFill="1" applyBorder="1" applyAlignment="1">
      <alignment horizontal="center" vertical="center" wrapText="1"/>
    </xf>
    <xf numFmtId="0" fontId="11" fillId="0" borderId="11" xfId="6" applyFont="1" applyBorder="1" applyAlignment="1">
      <alignment horizontal="center"/>
    </xf>
    <xf numFmtId="174" fontId="4" fillId="2" borderId="2" xfId="6" applyNumberFormat="1" applyFont="1" applyFill="1" applyBorder="1" applyAlignment="1">
      <alignment horizontal="left" wrapText="1"/>
    </xf>
    <xf numFmtId="164" fontId="13" fillId="2" borderId="2" xfId="5" applyFont="1" applyFill="1" applyBorder="1" applyAlignment="1" applyProtection="1">
      <alignment horizontal="center" wrapText="1"/>
    </xf>
    <xf numFmtId="0" fontId="13" fillId="2" borderId="2" xfId="5" applyNumberFormat="1" applyFont="1" applyFill="1" applyBorder="1" applyAlignment="1" applyProtection="1">
      <alignment horizontal="center" wrapText="1"/>
    </xf>
    <xf numFmtId="164" fontId="10" fillId="5" borderId="1" xfId="5" applyFont="1" applyFill="1" applyBorder="1" applyAlignment="1" applyProtection="1">
      <alignment horizontal="center" vertical="center" wrapText="1"/>
    </xf>
    <xf numFmtId="167" fontId="10" fillId="5" borderId="1" xfId="6" applyNumberFormat="1" applyFont="1" applyFill="1" applyBorder="1" applyAlignment="1">
      <alignment horizontal="center" vertical="center" wrapText="1"/>
    </xf>
    <xf numFmtId="2" fontId="10" fillId="5" borderId="1" xfId="6" applyNumberFormat="1" applyFont="1" applyFill="1" applyBorder="1" applyAlignment="1">
      <alignment horizontal="center" vertical="center" wrapText="1"/>
    </xf>
    <xf numFmtId="0" fontId="10" fillId="5" borderId="1" xfId="5" applyNumberFormat="1" applyFont="1" applyFill="1" applyBorder="1" applyAlignment="1" applyProtection="1">
      <alignment horizontal="center" vertical="center" wrapText="1"/>
    </xf>
    <xf numFmtId="1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7" applyNumberFormat="1" applyFont="1" applyFill="1" applyBorder="1" applyAlignment="1" applyProtection="1">
      <alignment horizontal="center" vertical="center" wrapText="1"/>
    </xf>
    <xf numFmtId="2" fontId="4" fillId="2" borderId="12" xfId="6" applyNumberFormat="1" applyFont="1" applyFill="1" applyBorder="1" applyAlignment="1">
      <alignment horizontal="left" wrapText="1"/>
    </xf>
    <xf numFmtId="164" fontId="4" fillId="2" borderId="12" xfId="5" applyFont="1" applyFill="1" applyBorder="1" applyAlignment="1" applyProtection="1">
      <alignment horizontal="center" vertical="center" wrapText="1"/>
    </xf>
    <xf numFmtId="2" fontId="4" fillId="2" borderId="12" xfId="6" applyNumberFormat="1" applyFont="1" applyFill="1" applyBorder="1" applyAlignment="1">
      <alignment horizontal="center" vertical="center" wrapText="1"/>
    </xf>
    <xf numFmtId="4" fontId="4" fillId="2" borderId="12" xfId="6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168" fontId="10" fillId="0" borderId="1" xfId="0" applyNumberFormat="1" applyFont="1" applyBorder="1" applyAlignment="1">
      <alignment horizontal="left" vertical="center"/>
    </xf>
    <xf numFmtId="168" fontId="15" fillId="7" borderId="1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68" fontId="10" fillId="7" borderId="1" xfId="1" applyFont="1" applyFill="1" applyBorder="1" applyAlignment="1" applyProtection="1">
      <alignment horizontal="left"/>
    </xf>
    <xf numFmtId="0" fontId="15" fillId="0" borderId="1" xfId="0" applyFont="1" applyBorder="1" applyAlignment="1">
      <alignment horizontal="right" wrapText="1"/>
    </xf>
    <xf numFmtId="168" fontId="10" fillId="0" borderId="1" xfId="0" applyNumberFormat="1" applyFont="1" applyBorder="1" applyAlignment="1">
      <alignment horizontal="left"/>
    </xf>
    <xf numFmtId="10" fontId="15" fillId="8" borderId="1" xfId="0" applyNumberFormat="1" applyFont="1" applyFill="1" applyBorder="1" applyAlignment="1">
      <alignment horizontal="center"/>
    </xf>
    <xf numFmtId="0" fontId="19" fillId="10" borderId="16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75" fontId="20" fillId="0" borderId="22" xfId="0" applyNumberFormat="1" applyFont="1" applyBorder="1" applyAlignment="1">
      <alignment horizontal="center" vertical="center"/>
    </xf>
    <xf numFmtId="175" fontId="20" fillId="0" borderId="1" xfId="0" applyNumberFormat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175" fontId="20" fillId="0" borderId="24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175" fontId="20" fillId="7" borderId="22" xfId="0" applyNumberFormat="1" applyFont="1" applyFill="1" applyBorder="1" applyAlignment="1">
      <alignment horizontal="center" vertical="center"/>
    </xf>
    <xf numFmtId="168" fontId="4" fillId="0" borderId="1" xfId="1" applyFont="1" applyBorder="1" applyAlignment="1" applyProtection="1">
      <alignment horizontal="center"/>
    </xf>
    <xf numFmtId="175" fontId="20" fillId="4" borderId="1" xfId="0" applyNumberFormat="1" applyFont="1" applyFill="1" applyBorder="1" applyAlignment="1">
      <alignment horizontal="center" vertical="center"/>
    </xf>
    <xf numFmtId="168" fontId="21" fillId="7" borderId="1" xfId="1" applyFont="1" applyFill="1" applyBorder="1" applyAlignment="1" applyProtection="1">
      <alignment horizontal="center"/>
    </xf>
    <xf numFmtId="175" fontId="20" fillId="0" borderId="13" xfId="0" applyNumberFormat="1" applyFont="1" applyBorder="1" applyAlignment="1">
      <alignment horizontal="center" vertical="center"/>
    </xf>
    <xf numFmtId="168" fontId="21" fillId="0" borderId="1" xfId="1" applyFont="1" applyBorder="1" applyAlignment="1" applyProtection="1">
      <alignment horizontal="center"/>
    </xf>
    <xf numFmtId="175" fontId="20" fillId="11" borderId="24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left" vertical="center" wrapText="1"/>
    </xf>
    <xf numFmtId="175" fontId="20" fillId="4" borderId="26" xfId="0" applyNumberFormat="1" applyFont="1" applyFill="1" applyBorder="1" applyAlignment="1">
      <alignment horizontal="center" vertical="center"/>
    </xf>
    <xf numFmtId="175" fontId="20" fillId="0" borderId="27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left" vertical="center" wrapText="1"/>
    </xf>
    <xf numFmtId="175" fontId="23" fillId="0" borderId="24" xfId="0" applyNumberFormat="1" applyFont="1" applyBorder="1" applyAlignment="1">
      <alignment horizontal="center" vertical="center"/>
    </xf>
    <xf numFmtId="0" fontId="21" fillId="0" borderId="0" xfId="0" applyFont="1"/>
    <xf numFmtId="0" fontId="20" fillId="0" borderId="0" xfId="0" applyFont="1"/>
    <xf numFmtId="175" fontId="20" fillId="4" borderId="30" xfId="0" applyNumberFormat="1" applyFont="1" applyFill="1" applyBorder="1" applyAlignment="1">
      <alignment horizontal="center" vertical="center"/>
    </xf>
    <xf numFmtId="175" fontId="0" fillId="0" borderId="0" xfId="0" applyNumberFormat="1"/>
    <xf numFmtId="10" fontId="29" fillId="0" borderId="0" xfId="3" applyNumberFormat="1" applyBorder="1" applyProtection="1"/>
    <xf numFmtId="0" fontId="20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wrapText="1"/>
    </xf>
    <xf numFmtId="168" fontId="10" fillId="0" borderId="1" xfId="1" applyFont="1" applyBorder="1" applyAlignment="1" applyProtection="1">
      <alignment horizontal="left"/>
    </xf>
    <xf numFmtId="168" fontId="27" fillId="0" borderId="1" xfId="0" applyNumberFormat="1" applyFont="1" applyBorder="1" applyAlignment="1">
      <alignment horizontal="left"/>
    </xf>
    <xf numFmtId="168" fontId="28" fillId="7" borderId="1" xfId="1" applyFont="1" applyFill="1" applyBorder="1" applyAlignment="1" applyProtection="1">
      <alignment horizontal="center"/>
    </xf>
    <xf numFmtId="168" fontId="28" fillId="0" borderId="1" xfId="1" applyFont="1" applyBorder="1" applyAlignment="1" applyProtection="1">
      <alignment horizontal="center"/>
    </xf>
    <xf numFmtId="0" fontId="20" fillId="0" borderId="21" xfId="0" applyFont="1" applyBorder="1" applyAlignment="1">
      <alignment horizontal="left" vertical="center" wrapText="1"/>
    </xf>
    <xf numFmtId="175" fontId="20" fillId="4" borderId="23" xfId="0" applyNumberFormat="1" applyFont="1" applyFill="1" applyBorder="1" applyAlignment="1">
      <alignment horizontal="center" vertical="center"/>
    </xf>
    <xf numFmtId="175" fontId="20" fillId="0" borderId="23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175" fontId="20" fillId="4" borderId="1" xfId="0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left" vertical="center" wrapText="1"/>
    </xf>
    <xf numFmtId="175" fontId="20" fillId="0" borderId="1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19" fillId="10" borderId="29" xfId="0" applyFont="1" applyFill="1" applyBorder="1" applyAlignment="1">
      <alignment horizontal="center" vertical="center"/>
    </xf>
  </cellXfs>
  <cellStyles count="8">
    <cellStyle name="Hiperlink" xfId="4" builtinId="8"/>
    <cellStyle name="Moeda" xfId="2" builtinId="4"/>
    <cellStyle name="Moeda 2" xfId="5" xr:uid="{00000000-0005-0000-0000-000006000000}"/>
    <cellStyle name="Normal" xfId="0" builtinId="0"/>
    <cellStyle name="Normal 2" xfId="6" xr:uid="{00000000-0005-0000-0000-000007000000}"/>
    <cellStyle name="Porcentagem" xfId="3" builtinId="5"/>
    <cellStyle name="Separador de milhares_ELETRICA_2 2 2" xfId="7" xr:uid="{00000000-0005-0000-0000-000008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4B183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104760</xdr:rowOff>
    </xdr:from>
    <xdr:to>
      <xdr:col>1</xdr:col>
      <xdr:colOff>834840</xdr:colOff>
      <xdr:row>3</xdr:row>
      <xdr:rowOff>166190</xdr:rowOff>
    </xdr:to>
    <xdr:pic>
      <xdr:nvPicPr>
        <xdr:cNvPr id="4" name="Imagem 3" descr="Logotipo&#10;&#10;O conteúdo gerado por IA pode estar incorreto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104760"/>
          <a:ext cx="2613600" cy="626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64800</xdr:colOff>
      <xdr:row>0</xdr:row>
      <xdr:rowOff>116280</xdr:rowOff>
    </xdr:from>
    <xdr:to>
      <xdr:col>1</xdr:col>
      <xdr:colOff>664200</xdr:colOff>
      <xdr:row>5</xdr:row>
      <xdr:rowOff>176760</xdr:rowOff>
    </xdr:to>
    <xdr:pic>
      <xdr:nvPicPr>
        <xdr:cNvPr id="3" name="Imagem 1" descr="1_2_assinaturas_marca_2_reduzi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800" y="116280"/>
          <a:ext cx="961920" cy="88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2924280</xdr:colOff>
      <xdr:row>0</xdr:row>
      <xdr:rowOff>0</xdr:rowOff>
    </xdr:from>
    <xdr:to>
      <xdr:col>6</xdr:col>
      <xdr:colOff>4122720</xdr:colOff>
      <xdr:row>3</xdr:row>
      <xdr:rowOff>95760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620160" y="0"/>
          <a:ext cx="1198440" cy="61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47520</xdr:colOff>
      <xdr:row>19</xdr:row>
      <xdr:rowOff>50400</xdr:rowOff>
    </xdr:from>
    <xdr:to>
      <xdr:col>6</xdr:col>
      <xdr:colOff>4151160</xdr:colOff>
      <xdr:row>20</xdr:row>
      <xdr:rowOff>1472400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743400" y="4105440"/>
          <a:ext cx="4103640" cy="362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123840</xdr:colOff>
      <xdr:row>20</xdr:row>
      <xdr:rowOff>1582920</xdr:rowOff>
    </xdr:from>
    <xdr:to>
      <xdr:col>6</xdr:col>
      <xdr:colOff>4157640</xdr:colOff>
      <xdr:row>21</xdr:row>
      <xdr:rowOff>1629720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819720" y="7838280"/>
          <a:ext cx="4033800" cy="202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47520</xdr:colOff>
      <xdr:row>137</xdr:row>
      <xdr:rowOff>74880</xdr:rowOff>
    </xdr:from>
    <xdr:to>
      <xdr:col>6</xdr:col>
      <xdr:colOff>4190400</xdr:colOff>
      <xdr:row>138</xdr:row>
      <xdr:rowOff>111240</xdr:rowOff>
    </xdr:to>
    <xdr:pic>
      <xdr:nvPicPr>
        <xdr:cNvPr id="7" name="Imagem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rcRect l="1107"/>
        <a:stretch/>
      </xdr:blipFill>
      <xdr:spPr>
        <a:xfrm>
          <a:off x="9743400" y="37452240"/>
          <a:ext cx="4142880" cy="226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131400</xdr:colOff>
      <xdr:row>32</xdr:row>
      <xdr:rowOff>230400</xdr:rowOff>
    </xdr:from>
    <xdr:to>
      <xdr:col>20</xdr:col>
      <xdr:colOff>145440</xdr:colOff>
      <xdr:row>47</xdr:row>
      <xdr:rowOff>52200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677800" y="9791640"/>
          <a:ext cx="5517360" cy="381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11880</xdr:colOff>
      <xdr:row>49</xdr:row>
      <xdr:rowOff>99360</xdr:rowOff>
    </xdr:from>
    <xdr:to>
      <xdr:col>28</xdr:col>
      <xdr:colOff>182520</xdr:colOff>
      <xdr:row>58</xdr:row>
      <xdr:rowOff>30960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558280" y="14108760"/>
          <a:ext cx="10566000" cy="189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190440</xdr:colOff>
      <xdr:row>19</xdr:row>
      <xdr:rowOff>242280</xdr:rowOff>
    </xdr:from>
    <xdr:to>
      <xdr:col>29</xdr:col>
      <xdr:colOff>239760</xdr:colOff>
      <xdr:row>32</xdr:row>
      <xdr:rowOff>161280</xdr:rowOff>
    </xdr:to>
    <xdr:pic>
      <xdr:nvPicPr>
        <xdr:cNvPr id="10" name="Imagem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7736840" y="6184080"/>
          <a:ext cx="11056320" cy="3538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131400</xdr:colOff>
      <xdr:row>33</xdr:row>
      <xdr:rowOff>230760</xdr:rowOff>
    </xdr:from>
    <xdr:to>
      <xdr:col>20</xdr:col>
      <xdr:colOff>145440</xdr:colOff>
      <xdr:row>48</xdr:row>
      <xdr:rowOff>285840</xdr:rowOff>
    </xdr:to>
    <xdr:pic>
      <xdr:nvPicPr>
        <xdr:cNvPr id="11" name="Imagem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677800" y="10315800"/>
          <a:ext cx="5517360" cy="3817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PARAN&#193;\01-DESENVOLVIMENTO\EDIFICA&#199;&#213;ES\SESP\02-DESENVOLVIMENTO\M&#211;DULOS\21-CASA%20DO%20LIXO\_PRODUTO%2004%20-%20OR&#199;\CUSTO%20DE%20PROJETOS%20(SECID)\ANEXO%20-%20Honor&#225;rios%20de%20Projetos%20%20-%20CASA%20DE%20LIX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88736\servidor$\Documents%20and%20Settings\cc72\Meus%20documentos\Downloads\Para&#237;so%20do%20Norte\Para&#237;so%20do%20Norte%20(v2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PROFISSIONAL"/>
      <sheetName val="DADOS PROJETOS"/>
      <sheetName val="MEMORIAL CÁLCULO"/>
      <sheetName val="HONORÁRIOS"/>
      <sheetName val="CLIMATIZAÇÃO"/>
      <sheetName val="FOLHA FECHAMENTO"/>
      <sheetName val="RESUMO"/>
      <sheetName val="BDI"/>
      <sheetName val="INSUMOS"/>
      <sheetName val="CURVA ABC"/>
      <sheetName val="CRONOGRAMA"/>
      <sheetName val="COMPOSIÇÕES COMPLEMENTARES "/>
      <sheetName val="COTAÇÕES"/>
      <sheetName val="DECLARAÇÃO"/>
      <sheetName val="PROJETOS RECEBIDOS"/>
      <sheetName val="ENCARGOS SOCI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MEDIÇÃO COMPLETA"/>
      <sheetName val="CRONOGRAMA"/>
      <sheetName val="Relatório"/>
      <sheetName val="Parecer Gerado"/>
      <sheetName val="PARECERES"/>
      <sheetName val="HISTÓRICO DE PARECERES"/>
      <sheetName val=" "/>
      <sheetName val="FOLHA FECHAMENTO"/>
      <sheetName val="PLANILHA_MEDIÇÃO_COMPLETA"/>
      <sheetName val="Parecer_Gerado"/>
      <sheetName val="HISTÓRICO_DE_PARECERES"/>
      <sheetName val="_"/>
      <sheetName val="PLANILHA_MEDIÇÃO_COMPLETA1"/>
      <sheetName val="Parecer_Gerado1"/>
      <sheetName val="HISTÓRICO_DE_PARECERES1"/>
      <sheetName val="_1"/>
      <sheetName val="Auxiliar FxF"/>
      <sheetName val="cotações"/>
      <sheetName val="insumos"/>
      <sheetName val="serviços"/>
      <sheetName val="Teor"/>
      <sheetName val="comp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hop.se.gov.br/tabelas-de-honorarios/" TargetMode="External"/><Relationship Id="rId1" Type="http://schemas.openxmlformats.org/officeDocument/2006/relationships/hyperlink" Target="https://cehop.se.gov.br/tabelas-de-honorario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285"/>
  <sheetViews>
    <sheetView tabSelected="1" view="pageBreakPreview" topLeftCell="A81" zoomScale="85" zoomScaleNormal="85" zoomScaleSheetLayoutView="85" zoomScalePageLayoutView="65" workbookViewId="0">
      <selection activeCell="G290" sqref="G290"/>
    </sheetView>
  </sheetViews>
  <sheetFormatPr defaultColWidth="25.85546875" defaultRowHeight="15" customHeight="1"/>
  <cols>
    <col min="1" max="1" width="25.85546875" style="14"/>
    <col min="2" max="2" width="18.85546875" style="15" customWidth="1"/>
    <col min="3" max="3" width="51.28515625" style="16" customWidth="1"/>
    <col min="4" max="4" width="17.5703125" style="16" customWidth="1"/>
    <col min="5" max="5" width="28.7109375" style="17" customWidth="1"/>
    <col min="6" max="6" width="42" style="18" customWidth="1"/>
    <col min="7" max="7" width="42" style="19" customWidth="1"/>
    <col min="8" max="8" width="19" style="19" customWidth="1"/>
    <col min="9" max="9" width="67.42578125" style="17" customWidth="1"/>
    <col min="10" max="10" width="0" style="20" hidden="1" customWidth="1"/>
    <col min="11" max="34" width="0" style="21" hidden="1" customWidth="1"/>
    <col min="35" max="16384" width="25.85546875" style="21"/>
  </cols>
  <sheetData>
    <row r="1" spans="1:21" s="29" customFormat="1" ht="12.75">
      <c r="A1" s="22"/>
      <c r="B1" s="23"/>
      <c r="C1" s="24"/>
      <c r="D1" s="24"/>
      <c r="E1" s="25"/>
      <c r="F1" s="26"/>
      <c r="G1" s="27"/>
      <c r="H1" s="27"/>
      <c r="I1" s="25"/>
      <c r="J1" s="28"/>
    </row>
    <row r="2" spans="1:21" s="29" customFormat="1" ht="15" customHeight="1">
      <c r="A2" s="30"/>
      <c r="B2" s="23"/>
      <c r="C2" s="13" t="s">
        <v>0</v>
      </c>
      <c r="D2" s="13"/>
      <c r="E2" s="13"/>
      <c r="F2" s="13"/>
      <c r="G2" s="13"/>
      <c r="H2" s="13"/>
      <c r="I2" s="13"/>
      <c r="J2" s="28"/>
    </row>
    <row r="3" spans="1:21" s="34" customFormat="1" ht="15" customHeight="1">
      <c r="A3" s="32"/>
      <c r="B3" s="23"/>
      <c r="C3" s="13" t="s">
        <v>1</v>
      </c>
      <c r="D3" s="13"/>
      <c r="E3" s="13"/>
      <c r="F3" s="13"/>
      <c r="G3" s="13"/>
      <c r="H3" s="13"/>
      <c r="I3" s="13"/>
      <c r="J3" s="33"/>
    </row>
    <row r="4" spans="1:21" s="29" customFormat="1">
      <c r="A4" s="30"/>
      <c r="B4" s="23"/>
      <c r="C4" s="35"/>
      <c r="D4" s="35"/>
      <c r="E4" s="36"/>
      <c r="F4" s="37" t="s">
        <v>2</v>
      </c>
      <c r="G4" s="38" t="s">
        <v>2</v>
      </c>
      <c r="H4" s="38"/>
      <c r="I4" s="36"/>
      <c r="J4" s="28"/>
    </row>
    <row r="5" spans="1:21" s="29" customFormat="1" ht="12.75">
      <c r="A5" s="39" t="s">
        <v>3</v>
      </c>
      <c r="B5" s="40" t="s">
        <v>4</v>
      </c>
      <c r="C5" s="41" t="s">
        <v>5</v>
      </c>
      <c r="D5" s="41" t="s">
        <v>6</v>
      </c>
      <c r="E5" s="42" t="s">
        <v>7</v>
      </c>
      <c r="F5" s="41" t="s">
        <v>8</v>
      </c>
      <c r="G5" s="43" t="s">
        <v>9</v>
      </c>
      <c r="H5" s="42" t="s">
        <v>10</v>
      </c>
      <c r="I5" s="42" t="s">
        <v>11</v>
      </c>
      <c r="J5" s="28"/>
    </row>
    <row r="6" spans="1:21" s="53" customFormat="1" ht="45">
      <c r="A6" s="44">
        <v>1</v>
      </c>
      <c r="B6" s="45"/>
      <c r="C6" s="46" t="s">
        <v>12</v>
      </c>
      <c r="D6" s="46"/>
      <c r="E6" s="47"/>
      <c r="F6" s="48"/>
      <c r="G6" s="49"/>
      <c r="H6" s="50">
        <f>H7+H8+H45+H48+H50+H58</f>
        <v>23597000</v>
      </c>
      <c r="I6" s="51" t="s">
        <v>13</v>
      </c>
      <c r="J6" s="52"/>
      <c r="T6" s="54"/>
      <c r="U6" s="54"/>
    </row>
    <row r="7" spans="1:21" s="65" customFormat="1">
      <c r="A7" s="55"/>
      <c r="B7" s="56" t="s">
        <v>14</v>
      </c>
      <c r="C7" s="57" t="s">
        <v>15</v>
      </c>
      <c r="D7" s="58"/>
      <c r="E7" s="59">
        <v>1950</v>
      </c>
      <c r="F7" s="60" t="s">
        <v>16</v>
      </c>
      <c r="G7" s="61" t="s">
        <v>17</v>
      </c>
      <c r="H7" s="62">
        <f>E7*D7</f>
        <v>0</v>
      </c>
      <c r="I7" s="63"/>
      <c r="J7" s="64"/>
      <c r="T7" s="66" t="e">
        <f>#VALUE!</f>
        <v>#VALUE!</v>
      </c>
      <c r="U7" s="66">
        <v>0</v>
      </c>
    </row>
    <row r="8" spans="1:21" s="76" customFormat="1">
      <c r="A8" s="67"/>
      <c r="B8" s="68"/>
      <c r="C8" s="69" t="s">
        <v>18</v>
      </c>
      <c r="D8" s="69"/>
      <c r="E8" s="70"/>
      <c r="F8" s="71"/>
      <c r="G8" s="72"/>
      <c r="H8" s="73">
        <f>SUM(H9:H44)</f>
        <v>19618000</v>
      </c>
      <c r="I8" s="74"/>
      <c r="J8" s="75"/>
      <c r="T8" s="77"/>
      <c r="U8" s="77"/>
    </row>
    <row r="9" spans="1:21" s="65" customFormat="1">
      <c r="A9" s="55"/>
      <c r="B9" s="56" t="s">
        <v>19</v>
      </c>
      <c r="C9" s="57" t="s">
        <v>20</v>
      </c>
      <c r="D9" s="78">
        <v>25000</v>
      </c>
      <c r="E9" s="59">
        <v>7.8</v>
      </c>
      <c r="F9" s="79" t="s">
        <v>21</v>
      </c>
      <c r="G9" s="61" t="s">
        <v>17</v>
      </c>
      <c r="H9" s="62">
        <f t="shared" ref="H9:H44" si="0">E9*D9</f>
        <v>195000</v>
      </c>
      <c r="I9" s="63"/>
      <c r="J9" s="64"/>
      <c r="T9" s="66" t="e">
        <f>#VALUE!</f>
        <v>#VALUE!</v>
      </c>
      <c r="U9" s="66">
        <v>0</v>
      </c>
    </row>
    <row r="10" spans="1:21" s="65" customFormat="1">
      <c r="A10" s="55"/>
      <c r="B10" s="56" t="s">
        <v>22</v>
      </c>
      <c r="C10" s="57" t="s">
        <v>23</v>
      </c>
      <c r="D10" s="78">
        <v>35000</v>
      </c>
      <c r="E10" s="59">
        <v>26</v>
      </c>
      <c r="F10" s="79" t="s">
        <v>21</v>
      </c>
      <c r="G10" s="61" t="s">
        <v>17</v>
      </c>
      <c r="H10" s="62">
        <f t="shared" si="0"/>
        <v>910000</v>
      </c>
      <c r="I10" s="63"/>
      <c r="J10" s="64"/>
      <c r="T10" s="66" t="e">
        <f>#VALUE!</f>
        <v>#VALUE!</v>
      </c>
      <c r="U10" s="66">
        <v>0</v>
      </c>
    </row>
    <row r="11" spans="1:21" s="65" customFormat="1">
      <c r="A11" s="55"/>
      <c r="B11" s="56" t="s">
        <v>24</v>
      </c>
      <c r="C11" s="57" t="s">
        <v>25</v>
      </c>
      <c r="D11" s="80">
        <f>D9</f>
        <v>25000</v>
      </c>
      <c r="E11" s="59">
        <v>28.6</v>
      </c>
      <c r="F11" s="79" t="s">
        <v>21</v>
      </c>
      <c r="G11" s="61" t="s">
        <v>17</v>
      </c>
      <c r="H11" s="62">
        <f t="shared" si="0"/>
        <v>715000</v>
      </c>
      <c r="I11" s="63"/>
      <c r="J11" s="64"/>
      <c r="T11" s="66" t="e">
        <f>#VALUE!</f>
        <v>#VALUE!</v>
      </c>
      <c r="U11" s="66">
        <v>0</v>
      </c>
    </row>
    <row r="12" spans="1:21" s="65" customFormat="1">
      <c r="A12" s="55"/>
      <c r="B12" s="56" t="s">
        <v>26</v>
      </c>
      <c r="C12" s="57" t="s">
        <v>27</v>
      </c>
      <c r="D12" s="78">
        <v>35000</v>
      </c>
      <c r="E12" s="59">
        <v>7.2</v>
      </c>
      <c r="F12" s="79" t="s">
        <v>21</v>
      </c>
      <c r="G12" s="61" t="s">
        <v>17</v>
      </c>
      <c r="H12" s="62">
        <f t="shared" si="0"/>
        <v>252000</v>
      </c>
      <c r="I12" s="63"/>
      <c r="J12" s="64"/>
      <c r="T12" s="66" t="e">
        <f>#VALUE!</f>
        <v>#VALUE!</v>
      </c>
      <c r="U12" s="66">
        <v>0</v>
      </c>
    </row>
    <row r="13" spans="1:21" s="65" customFormat="1">
      <c r="A13" s="55"/>
      <c r="B13" s="56" t="s">
        <v>28</v>
      </c>
      <c r="C13" s="57" t="s">
        <v>29</v>
      </c>
      <c r="D13" s="78">
        <v>45000</v>
      </c>
      <c r="E13" s="59">
        <v>24</v>
      </c>
      <c r="F13" s="79" t="s">
        <v>21</v>
      </c>
      <c r="G13" s="61" t="s">
        <v>17</v>
      </c>
      <c r="H13" s="62">
        <f t="shared" si="0"/>
        <v>1080000</v>
      </c>
      <c r="I13" s="63"/>
      <c r="J13" s="64"/>
      <c r="T13" s="66" t="e">
        <f>#VALUE!</f>
        <v>#VALUE!</v>
      </c>
      <c r="U13" s="66">
        <v>0</v>
      </c>
    </row>
    <row r="14" spans="1:21" s="65" customFormat="1">
      <c r="A14" s="55"/>
      <c r="B14" s="56" t="s">
        <v>30</v>
      </c>
      <c r="C14" s="57" t="s">
        <v>31</v>
      </c>
      <c r="D14" s="80">
        <f>D12</f>
        <v>35000</v>
      </c>
      <c r="E14" s="59">
        <v>26.4</v>
      </c>
      <c r="F14" s="79" t="s">
        <v>21</v>
      </c>
      <c r="G14" s="61" t="s">
        <v>17</v>
      </c>
      <c r="H14" s="62">
        <f t="shared" si="0"/>
        <v>924000</v>
      </c>
      <c r="I14" s="63"/>
      <c r="J14" s="64"/>
      <c r="T14" s="66" t="e">
        <f>#VALUE!</f>
        <v>#VALUE!</v>
      </c>
      <c r="U14" s="66">
        <v>0</v>
      </c>
    </row>
    <row r="15" spans="1:21" s="65" customFormat="1">
      <c r="A15" s="55"/>
      <c r="B15" s="56" t="s">
        <v>32</v>
      </c>
      <c r="C15" s="57" t="s">
        <v>33</v>
      </c>
      <c r="D15" s="78">
        <v>35000</v>
      </c>
      <c r="E15" s="59">
        <v>9.5</v>
      </c>
      <c r="F15" s="79" t="s">
        <v>21</v>
      </c>
      <c r="G15" s="61" t="s">
        <v>17</v>
      </c>
      <c r="H15" s="62">
        <f t="shared" si="0"/>
        <v>332500</v>
      </c>
      <c r="I15" s="63"/>
      <c r="J15" s="64"/>
      <c r="T15" s="66" t="e">
        <f>#VALUE!</f>
        <v>#VALUE!</v>
      </c>
      <c r="U15" s="66">
        <v>0</v>
      </c>
    </row>
    <row r="16" spans="1:21" s="65" customFormat="1">
      <c r="A16" s="55"/>
      <c r="B16" s="56" t="s">
        <v>34</v>
      </c>
      <c r="C16" s="57" t="s">
        <v>35</v>
      </c>
      <c r="D16" s="78">
        <v>30000</v>
      </c>
      <c r="E16" s="59">
        <v>31.5</v>
      </c>
      <c r="F16" s="79" t="s">
        <v>21</v>
      </c>
      <c r="G16" s="61" t="s">
        <v>17</v>
      </c>
      <c r="H16" s="62">
        <f t="shared" si="0"/>
        <v>945000</v>
      </c>
      <c r="I16" s="63"/>
      <c r="J16" s="64"/>
      <c r="T16" s="66" t="e">
        <f>#VALUE!</f>
        <v>#VALUE!</v>
      </c>
      <c r="U16" s="66">
        <v>0</v>
      </c>
    </row>
    <row r="17" spans="1:21" s="65" customFormat="1">
      <c r="A17" s="55"/>
      <c r="B17" s="56" t="s">
        <v>36</v>
      </c>
      <c r="C17" s="57" t="s">
        <v>37</v>
      </c>
      <c r="D17" s="80">
        <f>D15</f>
        <v>35000</v>
      </c>
      <c r="E17" s="59">
        <v>34.700000000000003</v>
      </c>
      <c r="F17" s="79" t="s">
        <v>21</v>
      </c>
      <c r="G17" s="61" t="s">
        <v>17</v>
      </c>
      <c r="H17" s="62">
        <f t="shared" si="0"/>
        <v>1214500</v>
      </c>
      <c r="I17" s="63"/>
      <c r="J17" s="64"/>
      <c r="T17" s="66" t="e">
        <f>#VALUE!</f>
        <v>#VALUE!</v>
      </c>
      <c r="U17" s="66">
        <v>0</v>
      </c>
    </row>
    <row r="18" spans="1:21" s="65" customFormat="1">
      <c r="A18" s="55"/>
      <c r="B18" s="56" t="s">
        <v>38</v>
      </c>
      <c r="C18" s="57" t="s">
        <v>39</v>
      </c>
      <c r="D18" s="78">
        <v>35000</v>
      </c>
      <c r="E18" s="59">
        <v>5.9</v>
      </c>
      <c r="F18" s="79" t="s">
        <v>21</v>
      </c>
      <c r="G18" s="61" t="s">
        <v>17</v>
      </c>
      <c r="H18" s="62">
        <f t="shared" si="0"/>
        <v>206500</v>
      </c>
      <c r="I18" s="63"/>
      <c r="J18" s="64"/>
      <c r="T18" s="66" t="e">
        <f>#VALUE!</f>
        <v>#VALUE!</v>
      </c>
      <c r="U18" s="66">
        <v>0</v>
      </c>
    </row>
    <row r="19" spans="1:21" s="65" customFormat="1">
      <c r="A19" s="55"/>
      <c r="B19" s="56" t="s">
        <v>40</v>
      </c>
      <c r="C19" s="57" t="s">
        <v>41</v>
      </c>
      <c r="D19" s="78">
        <v>45000</v>
      </c>
      <c r="E19" s="59">
        <v>19.5</v>
      </c>
      <c r="F19" s="79" t="s">
        <v>21</v>
      </c>
      <c r="G19" s="61" t="s">
        <v>17</v>
      </c>
      <c r="H19" s="62">
        <f t="shared" si="0"/>
        <v>877500</v>
      </c>
      <c r="I19" s="63"/>
      <c r="J19" s="64"/>
      <c r="T19" s="66" t="e">
        <f>#VALUE!</f>
        <v>#VALUE!</v>
      </c>
      <c r="U19" s="66">
        <v>0</v>
      </c>
    </row>
    <row r="20" spans="1:21" s="65" customFormat="1">
      <c r="A20" s="55"/>
      <c r="B20" s="56" t="s">
        <v>42</v>
      </c>
      <c r="C20" s="57" t="s">
        <v>43</v>
      </c>
      <c r="D20" s="80">
        <f>D18</f>
        <v>35000</v>
      </c>
      <c r="E20" s="59">
        <v>21.5</v>
      </c>
      <c r="F20" s="79" t="s">
        <v>21</v>
      </c>
      <c r="G20" s="61" t="s">
        <v>17</v>
      </c>
      <c r="H20" s="62">
        <f t="shared" si="0"/>
        <v>752500</v>
      </c>
      <c r="I20" s="63"/>
      <c r="J20" s="64"/>
      <c r="T20" s="66" t="e">
        <f>#VALUE!</f>
        <v>#VALUE!</v>
      </c>
      <c r="U20" s="66">
        <v>0</v>
      </c>
    </row>
    <row r="21" spans="1:21" s="65" customFormat="1">
      <c r="A21" s="55"/>
      <c r="B21" s="56" t="s">
        <v>44</v>
      </c>
      <c r="C21" s="57" t="s">
        <v>45</v>
      </c>
      <c r="D21" s="78">
        <v>25000</v>
      </c>
      <c r="E21" s="59">
        <v>10.9</v>
      </c>
      <c r="F21" s="79" t="s">
        <v>21</v>
      </c>
      <c r="G21" s="61" t="s">
        <v>17</v>
      </c>
      <c r="H21" s="62">
        <f t="shared" si="0"/>
        <v>272500</v>
      </c>
      <c r="I21" s="63"/>
      <c r="J21" s="64"/>
      <c r="T21" s="66" t="e">
        <f>#VALUE!</f>
        <v>#VALUE!</v>
      </c>
      <c r="U21" s="66">
        <v>0</v>
      </c>
    </row>
    <row r="22" spans="1:21" s="65" customFormat="1">
      <c r="A22" s="55"/>
      <c r="B22" s="56" t="s">
        <v>46</v>
      </c>
      <c r="C22" s="57" t="s">
        <v>47</v>
      </c>
      <c r="D22" s="78">
        <v>35000</v>
      </c>
      <c r="E22" s="59">
        <v>36.4</v>
      </c>
      <c r="F22" s="79" t="s">
        <v>21</v>
      </c>
      <c r="G22" s="61" t="s">
        <v>17</v>
      </c>
      <c r="H22" s="62">
        <f t="shared" si="0"/>
        <v>1274000</v>
      </c>
      <c r="I22" s="63"/>
      <c r="J22" s="64"/>
      <c r="T22" s="66" t="e">
        <f>#VALUE!</f>
        <v>#VALUE!</v>
      </c>
      <c r="U22" s="66">
        <v>0</v>
      </c>
    </row>
    <row r="23" spans="1:21" s="65" customFormat="1">
      <c r="A23" s="55"/>
      <c r="B23" s="56" t="s">
        <v>48</v>
      </c>
      <c r="C23" s="57" t="s">
        <v>49</v>
      </c>
      <c r="D23" s="80">
        <f>D21</f>
        <v>25000</v>
      </c>
      <c r="E23" s="59">
        <v>40</v>
      </c>
      <c r="F23" s="79" t="s">
        <v>21</v>
      </c>
      <c r="G23" s="61" t="s">
        <v>17</v>
      </c>
      <c r="H23" s="62">
        <f t="shared" si="0"/>
        <v>1000000</v>
      </c>
      <c r="I23" s="63"/>
      <c r="J23" s="64"/>
      <c r="T23" s="66" t="e">
        <f>#VALUE!</f>
        <v>#VALUE!</v>
      </c>
      <c r="U23" s="66">
        <v>0</v>
      </c>
    </row>
    <row r="24" spans="1:21" s="65" customFormat="1">
      <c r="A24" s="55"/>
      <c r="B24" s="56" t="s">
        <v>50</v>
      </c>
      <c r="C24" s="57" t="s">
        <v>51</v>
      </c>
      <c r="D24" s="78">
        <v>25000</v>
      </c>
      <c r="E24" s="59">
        <v>3.8</v>
      </c>
      <c r="F24" s="79" t="s">
        <v>21</v>
      </c>
      <c r="G24" s="61" t="s">
        <v>17</v>
      </c>
      <c r="H24" s="62">
        <f t="shared" si="0"/>
        <v>95000</v>
      </c>
      <c r="I24" s="63"/>
      <c r="J24" s="64"/>
      <c r="T24" s="66" t="e">
        <f>#VALUE!</f>
        <v>#VALUE!</v>
      </c>
      <c r="U24" s="66">
        <v>0</v>
      </c>
    </row>
    <row r="25" spans="1:21" s="65" customFormat="1">
      <c r="A25" s="55"/>
      <c r="B25" s="56" t="s">
        <v>52</v>
      </c>
      <c r="C25" s="57" t="s">
        <v>53</v>
      </c>
      <c r="D25" s="78">
        <v>30000</v>
      </c>
      <c r="E25" s="59">
        <v>12.5</v>
      </c>
      <c r="F25" s="79" t="s">
        <v>21</v>
      </c>
      <c r="G25" s="61" t="s">
        <v>17</v>
      </c>
      <c r="H25" s="62">
        <f t="shared" si="0"/>
        <v>375000</v>
      </c>
      <c r="I25" s="63"/>
      <c r="J25" s="64"/>
      <c r="T25" s="66" t="e">
        <f>#VALUE!</f>
        <v>#VALUE!</v>
      </c>
      <c r="U25" s="66">
        <v>0</v>
      </c>
    </row>
    <row r="26" spans="1:21" s="65" customFormat="1">
      <c r="A26" s="55"/>
      <c r="B26" s="56" t="s">
        <v>54</v>
      </c>
      <c r="C26" s="57" t="s">
        <v>55</v>
      </c>
      <c r="D26" s="80">
        <f>D24</f>
        <v>25000</v>
      </c>
      <c r="E26" s="59">
        <v>13.8</v>
      </c>
      <c r="F26" s="79" t="s">
        <v>21</v>
      </c>
      <c r="G26" s="61" t="s">
        <v>17</v>
      </c>
      <c r="H26" s="62">
        <f t="shared" si="0"/>
        <v>345000</v>
      </c>
      <c r="I26" s="63"/>
      <c r="J26" s="64"/>
      <c r="T26" s="66" t="e">
        <f>#VALUE!</f>
        <v>#VALUE!</v>
      </c>
      <c r="U26" s="66">
        <v>0</v>
      </c>
    </row>
    <row r="27" spans="1:21" s="65" customFormat="1">
      <c r="A27" s="55"/>
      <c r="B27" s="56" t="s">
        <v>56</v>
      </c>
      <c r="C27" s="57" t="s">
        <v>57</v>
      </c>
      <c r="D27" s="78">
        <v>10000</v>
      </c>
      <c r="E27" s="59">
        <v>7.8</v>
      </c>
      <c r="F27" s="79" t="s">
        <v>21</v>
      </c>
      <c r="G27" s="61" t="s">
        <v>17</v>
      </c>
      <c r="H27" s="62">
        <f t="shared" si="0"/>
        <v>78000</v>
      </c>
      <c r="I27" s="63"/>
      <c r="J27" s="64"/>
      <c r="T27" s="66" t="e">
        <f>#VALUE!</f>
        <v>#VALUE!</v>
      </c>
      <c r="U27" s="66">
        <v>0</v>
      </c>
    </row>
    <row r="28" spans="1:21" s="65" customFormat="1">
      <c r="A28" s="55"/>
      <c r="B28" s="56" t="s">
        <v>58</v>
      </c>
      <c r="C28" s="57" t="s">
        <v>59</v>
      </c>
      <c r="D28" s="78">
        <v>20000</v>
      </c>
      <c r="E28" s="59">
        <v>26</v>
      </c>
      <c r="F28" s="79" t="s">
        <v>21</v>
      </c>
      <c r="G28" s="61" t="s">
        <v>17</v>
      </c>
      <c r="H28" s="62">
        <f t="shared" si="0"/>
        <v>520000</v>
      </c>
      <c r="I28" s="63"/>
      <c r="J28" s="64"/>
      <c r="T28" s="66" t="e">
        <f>#VALUE!</f>
        <v>#VALUE!</v>
      </c>
      <c r="U28" s="66">
        <v>0</v>
      </c>
    </row>
    <row r="29" spans="1:21" s="65" customFormat="1">
      <c r="A29" s="55"/>
      <c r="B29" s="56" t="s">
        <v>60</v>
      </c>
      <c r="C29" s="57" t="s">
        <v>61</v>
      </c>
      <c r="D29" s="80">
        <f>D27</f>
        <v>10000</v>
      </c>
      <c r="E29" s="59">
        <v>28.6</v>
      </c>
      <c r="F29" s="79" t="s">
        <v>21</v>
      </c>
      <c r="G29" s="61" t="s">
        <v>17</v>
      </c>
      <c r="H29" s="62">
        <f t="shared" si="0"/>
        <v>286000</v>
      </c>
      <c r="I29" s="63"/>
      <c r="J29" s="64"/>
      <c r="T29" s="66" t="e">
        <f>#VALUE!</f>
        <v>#VALUE!</v>
      </c>
      <c r="U29" s="66">
        <v>0</v>
      </c>
    </row>
    <row r="30" spans="1:21" s="65" customFormat="1">
      <c r="A30" s="55"/>
      <c r="B30" s="56" t="s">
        <v>62</v>
      </c>
      <c r="C30" s="57" t="s">
        <v>63</v>
      </c>
      <c r="D30" s="78">
        <v>15000</v>
      </c>
      <c r="E30" s="59">
        <v>9.5</v>
      </c>
      <c r="F30" s="79" t="s">
        <v>21</v>
      </c>
      <c r="G30" s="61" t="s">
        <v>17</v>
      </c>
      <c r="H30" s="62">
        <f t="shared" si="0"/>
        <v>142500</v>
      </c>
      <c r="I30" s="63"/>
      <c r="J30" s="64"/>
      <c r="T30" s="66" t="e">
        <f>#VALUE!</f>
        <v>#VALUE!</v>
      </c>
      <c r="U30" s="66">
        <v>0</v>
      </c>
    </row>
    <row r="31" spans="1:21" s="65" customFormat="1">
      <c r="A31" s="55"/>
      <c r="B31" s="56" t="s">
        <v>64</v>
      </c>
      <c r="C31" s="57" t="s">
        <v>65</v>
      </c>
      <c r="D31" s="78">
        <v>25000</v>
      </c>
      <c r="E31" s="59">
        <v>31.5</v>
      </c>
      <c r="F31" s="79" t="s">
        <v>21</v>
      </c>
      <c r="G31" s="61" t="s">
        <v>17</v>
      </c>
      <c r="H31" s="62">
        <f t="shared" si="0"/>
        <v>787500</v>
      </c>
      <c r="I31" s="63"/>
      <c r="J31" s="64"/>
      <c r="T31" s="66" t="e">
        <f>#VALUE!</f>
        <v>#VALUE!</v>
      </c>
      <c r="U31" s="66">
        <v>0</v>
      </c>
    </row>
    <row r="32" spans="1:21" s="65" customFormat="1">
      <c r="A32" s="55"/>
      <c r="B32" s="56" t="s">
        <v>66</v>
      </c>
      <c r="C32" s="57" t="s">
        <v>67</v>
      </c>
      <c r="D32" s="80">
        <f>D30</f>
        <v>15000</v>
      </c>
      <c r="E32" s="59">
        <v>34.700000000000003</v>
      </c>
      <c r="F32" s="79" t="s">
        <v>21</v>
      </c>
      <c r="G32" s="61" t="s">
        <v>17</v>
      </c>
      <c r="H32" s="62">
        <f t="shared" si="0"/>
        <v>520500.00000000006</v>
      </c>
      <c r="I32" s="63"/>
      <c r="J32" s="64"/>
      <c r="T32" s="66" t="e">
        <f>#VALUE!</f>
        <v>#VALUE!</v>
      </c>
      <c r="U32" s="66">
        <v>0</v>
      </c>
    </row>
    <row r="33" spans="1:21" s="65" customFormat="1">
      <c r="A33" s="55"/>
      <c r="B33" s="56" t="s">
        <v>68</v>
      </c>
      <c r="C33" s="57" t="s">
        <v>69</v>
      </c>
      <c r="D33" s="78">
        <v>25000</v>
      </c>
      <c r="E33" s="59">
        <v>9.8000000000000007</v>
      </c>
      <c r="F33" s="79" t="s">
        <v>21</v>
      </c>
      <c r="G33" s="61" t="s">
        <v>17</v>
      </c>
      <c r="H33" s="62">
        <f t="shared" si="0"/>
        <v>245000.00000000003</v>
      </c>
      <c r="I33" s="63"/>
      <c r="J33" s="64"/>
      <c r="T33" s="66" t="e">
        <f>#VALUE!</f>
        <v>#VALUE!</v>
      </c>
      <c r="U33" s="66">
        <v>0</v>
      </c>
    </row>
    <row r="34" spans="1:21" s="65" customFormat="1">
      <c r="A34" s="55"/>
      <c r="B34" s="56" t="s">
        <v>70</v>
      </c>
      <c r="C34" s="57" t="s">
        <v>71</v>
      </c>
      <c r="D34" s="78">
        <v>35000</v>
      </c>
      <c r="E34" s="59">
        <v>32.5</v>
      </c>
      <c r="F34" s="79" t="s">
        <v>21</v>
      </c>
      <c r="G34" s="61" t="s">
        <v>17</v>
      </c>
      <c r="H34" s="62">
        <f t="shared" si="0"/>
        <v>1137500</v>
      </c>
      <c r="I34" s="63"/>
      <c r="J34" s="64"/>
      <c r="T34" s="66" t="e">
        <f>#VALUE!</f>
        <v>#VALUE!</v>
      </c>
      <c r="U34" s="66">
        <v>0</v>
      </c>
    </row>
    <row r="35" spans="1:21" s="65" customFormat="1">
      <c r="A35" s="55"/>
      <c r="B35" s="56" t="s">
        <v>72</v>
      </c>
      <c r="C35" s="57" t="s">
        <v>73</v>
      </c>
      <c r="D35" s="80">
        <f>D33</f>
        <v>25000</v>
      </c>
      <c r="E35" s="59">
        <v>35.799999999999997</v>
      </c>
      <c r="F35" s="79" t="s">
        <v>21</v>
      </c>
      <c r="G35" s="61" t="s">
        <v>17</v>
      </c>
      <c r="H35" s="62">
        <f t="shared" si="0"/>
        <v>894999.99999999988</v>
      </c>
      <c r="I35" s="63"/>
      <c r="J35" s="64"/>
      <c r="T35" s="66" t="e">
        <f>#VALUE!</f>
        <v>#VALUE!</v>
      </c>
      <c r="U35" s="66">
        <v>0</v>
      </c>
    </row>
    <row r="36" spans="1:21" s="65" customFormat="1">
      <c r="A36" s="55"/>
      <c r="B36" s="56" t="s">
        <v>74</v>
      </c>
      <c r="C36" s="57" t="s">
        <v>75</v>
      </c>
      <c r="D36" s="78">
        <v>25000</v>
      </c>
      <c r="E36" s="59">
        <v>7.8</v>
      </c>
      <c r="F36" s="79" t="s">
        <v>21</v>
      </c>
      <c r="G36" s="61" t="s">
        <v>17</v>
      </c>
      <c r="H36" s="62">
        <f t="shared" si="0"/>
        <v>195000</v>
      </c>
      <c r="I36" s="63"/>
      <c r="J36" s="64"/>
      <c r="T36" s="66" t="e">
        <f>#VALUE!</f>
        <v>#VALUE!</v>
      </c>
      <c r="U36" s="66">
        <v>0</v>
      </c>
    </row>
    <row r="37" spans="1:21" s="65" customFormat="1">
      <c r="A37" s="55"/>
      <c r="B37" s="56" t="s">
        <v>76</v>
      </c>
      <c r="C37" s="57" t="s">
        <v>77</v>
      </c>
      <c r="D37" s="78">
        <v>35000</v>
      </c>
      <c r="E37" s="59">
        <v>26</v>
      </c>
      <c r="F37" s="79" t="s">
        <v>21</v>
      </c>
      <c r="G37" s="61" t="s">
        <v>17</v>
      </c>
      <c r="H37" s="62">
        <f t="shared" si="0"/>
        <v>910000</v>
      </c>
      <c r="I37" s="63"/>
      <c r="J37" s="64"/>
      <c r="T37" s="66" t="e">
        <f>#VALUE!</f>
        <v>#VALUE!</v>
      </c>
      <c r="U37" s="66">
        <v>0</v>
      </c>
    </row>
    <row r="38" spans="1:21" s="65" customFormat="1">
      <c r="A38" s="55"/>
      <c r="B38" s="56" t="s">
        <v>78</v>
      </c>
      <c r="C38" s="57" t="s">
        <v>79</v>
      </c>
      <c r="D38" s="80">
        <f>D36</f>
        <v>25000</v>
      </c>
      <c r="E38" s="59">
        <v>28.6</v>
      </c>
      <c r="F38" s="79" t="s">
        <v>21</v>
      </c>
      <c r="G38" s="61" t="s">
        <v>17</v>
      </c>
      <c r="H38" s="62">
        <f t="shared" si="0"/>
        <v>715000</v>
      </c>
      <c r="I38" s="63"/>
      <c r="J38" s="64"/>
      <c r="T38" s="66" t="e">
        <f>#VALUE!</f>
        <v>#VALUE!</v>
      </c>
      <c r="U38" s="66">
        <v>0</v>
      </c>
    </row>
    <row r="39" spans="1:21" s="65" customFormat="1">
      <c r="A39" s="55"/>
      <c r="B39" s="56" t="s">
        <v>80</v>
      </c>
      <c r="C39" s="57" t="s">
        <v>81</v>
      </c>
      <c r="D39" s="78">
        <v>85000</v>
      </c>
      <c r="E39" s="59">
        <v>0.8</v>
      </c>
      <c r="F39" s="79" t="s">
        <v>21</v>
      </c>
      <c r="G39" s="61" t="s">
        <v>17</v>
      </c>
      <c r="H39" s="62">
        <f t="shared" si="0"/>
        <v>68000</v>
      </c>
      <c r="I39" s="63"/>
      <c r="J39" s="64"/>
      <c r="T39" s="66" t="e">
        <f>#VALUE!</f>
        <v>#VALUE!</v>
      </c>
      <c r="U39" s="66">
        <v>0</v>
      </c>
    </row>
    <row r="40" spans="1:21" s="65" customFormat="1">
      <c r="A40" s="55"/>
      <c r="B40" s="56" t="s">
        <v>82</v>
      </c>
      <c r="C40" s="57" t="s">
        <v>83</v>
      </c>
      <c r="D40" s="78">
        <v>90000</v>
      </c>
      <c r="E40" s="59">
        <v>2.5</v>
      </c>
      <c r="F40" s="79" t="s">
        <v>21</v>
      </c>
      <c r="G40" s="61" t="s">
        <v>17</v>
      </c>
      <c r="H40" s="62">
        <f t="shared" si="0"/>
        <v>225000</v>
      </c>
      <c r="I40" s="63"/>
      <c r="J40" s="64"/>
      <c r="T40" s="66" t="e">
        <f>#VALUE!</f>
        <v>#VALUE!</v>
      </c>
      <c r="U40" s="66">
        <v>0</v>
      </c>
    </row>
    <row r="41" spans="1:21" s="65" customFormat="1">
      <c r="A41" s="55"/>
      <c r="B41" s="56" t="s">
        <v>84</v>
      </c>
      <c r="C41" s="57" t="s">
        <v>85</v>
      </c>
      <c r="D41" s="80">
        <f>D39</f>
        <v>85000</v>
      </c>
      <c r="E41" s="59">
        <v>2.8</v>
      </c>
      <c r="F41" s="79" t="s">
        <v>21</v>
      </c>
      <c r="G41" s="61" t="s">
        <v>17</v>
      </c>
      <c r="H41" s="62">
        <f t="shared" si="0"/>
        <v>237999.99999999997</v>
      </c>
      <c r="I41" s="63"/>
      <c r="J41" s="64"/>
      <c r="T41" s="66" t="e">
        <f>#VALUE!</f>
        <v>#VALUE!</v>
      </c>
      <c r="U41" s="66">
        <v>0</v>
      </c>
    </row>
    <row r="42" spans="1:21" s="65" customFormat="1">
      <c r="A42" s="55"/>
      <c r="B42" s="56" t="s">
        <v>86</v>
      </c>
      <c r="C42" s="57" t="s">
        <v>87</v>
      </c>
      <c r="D42" s="78">
        <v>20000</v>
      </c>
      <c r="E42" s="59">
        <v>11.7</v>
      </c>
      <c r="F42" s="79" t="s">
        <v>21</v>
      </c>
      <c r="G42" s="61" t="s">
        <v>17</v>
      </c>
      <c r="H42" s="62">
        <f t="shared" si="0"/>
        <v>234000</v>
      </c>
      <c r="I42" s="63"/>
      <c r="J42" s="64"/>
      <c r="T42" s="66" t="e">
        <f>#VALUE!</f>
        <v>#VALUE!</v>
      </c>
      <c r="U42" s="66">
        <v>0</v>
      </c>
    </row>
    <row r="43" spans="1:21" s="65" customFormat="1">
      <c r="A43" s="55"/>
      <c r="B43" s="56" t="s">
        <v>88</v>
      </c>
      <c r="C43" s="57" t="s">
        <v>89</v>
      </c>
      <c r="D43" s="78">
        <v>15000</v>
      </c>
      <c r="E43" s="59">
        <v>39</v>
      </c>
      <c r="F43" s="79" t="s">
        <v>21</v>
      </c>
      <c r="G43" s="61" t="s">
        <v>17</v>
      </c>
      <c r="H43" s="62">
        <f t="shared" si="0"/>
        <v>585000</v>
      </c>
      <c r="I43" s="63"/>
      <c r="J43" s="64"/>
      <c r="T43" s="66" t="e">
        <f>#VALUE!</f>
        <v>#VALUE!</v>
      </c>
      <c r="U43" s="66">
        <v>0</v>
      </c>
    </row>
    <row r="44" spans="1:21" s="65" customFormat="1">
      <c r="A44" s="55"/>
      <c r="B44" s="56" t="s">
        <v>90</v>
      </c>
      <c r="C44" s="57" t="s">
        <v>91</v>
      </c>
      <c r="D44" s="80">
        <f>D42</f>
        <v>20000</v>
      </c>
      <c r="E44" s="59">
        <v>3.5</v>
      </c>
      <c r="F44" s="79" t="s">
        <v>21</v>
      </c>
      <c r="G44" s="61" t="s">
        <v>17</v>
      </c>
      <c r="H44" s="62">
        <f t="shared" si="0"/>
        <v>70000</v>
      </c>
      <c r="I44" s="63"/>
      <c r="J44" s="64"/>
      <c r="T44" s="66" t="e">
        <f>#VALUE!</f>
        <v>#VALUE!</v>
      </c>
      <c r="U44" s="66">
        <v>0</v>
      </c>
    </row>
    <row r="45" spans="1:21" s="76" customFormat="1">
      <c r="A45" s="67"/>
      <c r="B45" s="68"/>
      <c r="C45" s="69" t="s">
        <v>92</v>
      </c>
      <c r="D45" s="69"/>
      <c r="E45" s="70"/>
      <c r="F45" s="81"/>
      <c r="G45" s="72"/>
      <c r="H45" s="72">
        <f>SUM(H46:H47)</f>
        <v>1512000</v>
      </c>
      <c r="I45" s="74"/>
      <c r="J45" s="75"/>
      <c r="T45" s="77"/>
      <c r="U45" s="77"/>
    </row>
    <row r="46" spans="1:21" s="65" customFormat="1">
      <c r="A46" s="55"/>
      <c r="B46" s="56" t="s">
        <v>93</v>
      </c>
      <c r="C46" s="57" t="s">
        <v>94</v>
      </c>
      <c r="D46" s="78">
        <v>45000</v>
      </c>
      <c r="E46" s="59">
        <v>14.4</v>
      </c>
      <c r="F46" s="79" t="s">
        <v>21</v>
      </c>
      <c r="G46" s="61" t="s">
        <v>17</v>
      </c>
      <c r="H46" s="62">
        <f>E46*D46</f>
        <v>648000</v>
      </c>
      <c r="I46" s="63"/>
      <c r="J46" s="64"/>
      <c r="T46" s="66" t="e">
        <f>#VALUE!</f>
        <v>#VALUE!</v>
      </c>
      <c r="U46" s="66">
        <v>0</v>
      </c>
    </row>
    <row r="47" spans="1:21" s="65" customFormat="1" ht="30">
      <c r="A47" s="55"/>
      <c r="B47" s="56" t="s">
        <v>95</v>
      </c>
      <c r="C47" s="57" t="s">
        <v>96</v>
      </c>
      <c r="D47" s="78">
        <v>30000</v>
      </c>
      <c r="E47" s="59">
        <v>28.8</v>
      </c>
      <c r="F47" s="79" t="s">
        <v>21</v>
      </c>
      <c r="G47" s="61" t="s">
        <v>17</v>
      </c>
      <c r="H47" s="62">
        <f>E47*D47</f>
        <v>864000</v>
      </c>
      <c r="I47" s="63"/>
      <c r="J47" s="64"/>
      <c r="T47" s="66" t="e">
        <f>#VALUE!</f>
        <v>#VALUE!</v>
      </c>
      <c r="U47" s="66">
        <v>0</v>
      </c>
    </row>
    <row r="48" spans="1:21" s="76" customFormat="1">
      <c r="A48" s="67"/>
      <c r="B48" s="68"/>
      <c r="C48" s="69" t="s">
        <v>97</v>
      </c>
      <c r="D48" s="69"/>
      <c r="E48" s="70"/>
      <c r="F48" s="81"/>
      <c r="G48" s="72"/>
      <c r="H48" s="72">
        <f>SUM(H49)</f>
        <v>1980000</v>
      </c>
      <c r="I48" s="74"/>
      <c r="J48" s="75"/>
      <c r="T48" s="77"/>
      <c r="U48" s="77"/>
    </row>
    <row r="49" spans="1:21" s="65" customFormat="1">
      <c r="A49" s="55"/>
      <c r="B49" s="56" t="s">
        <v>98</v>
      </c>
      <c r="C49" s="57" t="s">
        <v>99</v>
      </c>
      <c r="D49" s="78">
        <v>90000</v>
      </c>
      <c r="E49" s="59">
        <v>22</v>
      </c>
      <c r="F49" s="79" t="s">
        <v>21</v>
      </c>
      <c r="G49" s="61" t="s">
        <v>17</v>
      </c>
      <c r="H49" s="62">
        <f>E49*D49</f>
        <v>1980000</v>
      </c>
      <c r="I49" s="63"/>
      <c r="J49" s="64"/>
      <c r="T49" s="66" t="e">
        <f>#VALUE!</f>
        <v>#VALUE!</v>
      </c>
      <c r="U49" s="66">
        <v>0</v>
      </c>
    </row>
    <row r="50" spans="1:21" s="76" customFormat="1" ht="60">
      <c r="A50" s="82"/>
      <c r="B50" s="83"/>
      <c r="C50" s="84" t="s">
        <v>100</v>
      </c>
      <c r="D50" s="84"/>
      <c r="E50" s="85"/>
      <c r="F50" s="86"/>
      <c r="G50" s="87"/>
      <c r="H50" s="87">
        <f>SUM(H51:H57)</f>
        <v>232000</v>
      </c>
      <c r="I50" s="88" t="s">
        <v>101</v>
      </c>
      <c r="J50" s="75"/>
      <c r="T50" s="77"/>
      <c r="U50" s="77"/>
    </row>
    <row r="51" spans="1:21" s="65" customFormat="1">
      <c r="A51" s="55"/>
      <c r="B51" s="56" t="s">
        <v>102</v>
      </c>
      <c r="C51" s="57" t="s">
        <v>103</v>
      </c>
      <c r="D51" s="78">
        <v>10000</v>
      </c>
      <c r="E51" s="59">
        <v>2.4</v>
      </c>
      <c r="F51" s="79" t="s">
        <v>21</v>
      </c>
      <c r="G51" s="61" t="s">
        <v>17</v>
      </c>
      <c r="H51" s="62">
        <f t="shared" ref="H51:H57" si="1">E51*D51</f>
        <v>24000</v>
      </c>
      <c r="I51" s="63"/>
      <c r="J51" s="64"/>
      <c r="T51" s="66" t="e">
        <f>#VALUE!</f>
        <v>#VALUE!</v>
      </c>
      <c r="U51" s="66">
        <v>0</v>
      </c>
    </row>
    <row r="52" spans="1:21" s="65" customFormat="1">
      <c r="A52" s="55"/>
      <c r="B52" s="56" t="s">
        <v>104</v>
      </c>
      <c r="C52" s="57" t="s">
        <v>105</v>
      </c>
      <c r="D52" s="78">
        <v>10000</v>
      </c>
      <c r="E52" s="59">
        <v>2</v>
      </c>
      <c r="F52" s="79" t="s">
        <v>21</v>
      </c>
      <c r="G52" s="61" t="s">
        <v>17</v>
      </c>
      <c r="H52" s="62">
        <f t="shared" si="1"/>
        <v>20000</v>
      </c>
      <c r="I52" s="63"/>
      <c r="J52" s="64"/>
      <c r="T52" s="66" t="e">
        <f>#VALUE!</f>
        <v>#VALUE!</v>
      </c>
      <c r="U52" s="66">
        <v>0</v>
      </c>
    </row>
    <row r="53" spans="1:21" s="65" customFormat="1">
      <c r="A53" s="55"/>
      <c r="B53" s="56" t="s">
        <v>106</v>
      </c>
      <c r="C53" s="57" t="s">
        <v>107</v>
      </c>
      <c r="D53" s="78">
        <v>20000</v>
      </c>
      <c r="E53" s="59">
        <v>1.8</v>
      </c>
      <c r="F53" s="79" t="s">
        <v>21</v>
      </c>
      <c r="G53" s="61" t="s">
        <v>17</v>
      </c>
      <c r="H53" s="62">
        <f t="shared" si="1"/>
        <v>36000</v>
      </c>
      <c r="I53" s="63"/>
      <c r="J53" s="64"/>
      <c r="T53" s="66" t="e">
        <f>#VALUE!</f>
        <v>#VALUE!</v>
      </c>
      <c r="U53" s="66">
        <v>0</v>
      </c>
    </row>
    <row r="54" spans="1:21" s="65" customFormat="1">
      <c r="A54" s="55"/>
      <c r="B54" s="56" t="s">
        <v>108</v>
      </c>
      <c r="C54" s="57" t="s">
        <v>109</v>
      </c>
      <c r="D54" s="78">
        <v>20000</v>
      </c>
      <c r="E54" s="59">
        <v>1.4</v>
      </c>
      <c r="F54" s="79" t="s">
        <v>21</v>
      </c>
      <c r="G54" s="61" t="s">
        <v>17</v>
      </c>
      <c r="H54" s="62">
        <f t="shared" si="1"/>
        <v>28000</v>
      </c>
      <c r="I54" s="63"/>
      <c r="J54" s="64"/>
      <c r="T54" s="66" t="e">
        <f>#VALUE!</f>
        <v>#VALUE!</v>
      </c>
      <c r="U54" s="66">
        <v>0</v>
      </c>
    </row>
    <row r="55" spans="1:21" s="65" customFormat="1">
      <c r="A55" s="55"/>
      <c r="B55" s="56" t="s">
        <v>110</v>
      </c>
      <c r="C55" s="57" t="s">
        <v>111</v>
      </c>
      <c r="D55" s="78">
        <v>25000</v>
      </c>
      <c r="E55" s="59">
        <v>1.3</v>
      </c>
      <c r="F55" s="79" t="s">
        <v>21</v>
      </c>
      <c r="G55" s="61" t="s">
        <v>17</v>
      </c>
      <c r="H55" s="62">
        <f t="shared" si="1"/>
        <v>32500</v>
      </c>
      <c r="I55" s="63"/>
      <c r="J55" s="64"/>
      <c r="T55" s="66" t="e">
        <f>#VALUE!</f>
        <v>#VALUE!</v>
      </c>
      <c r="U55" s="66">
        <v>0</v>
      </c>
    </row>
    <row r="56" spans="1:21" s="65" customFormat="1">
      <c r="A56" s="55"/>
      <c r="B56" s="56" t="s">
        <v>112</v>
      </c>
      <c r="C56" s="57" t="s">
        <v>113</v>
      </c>
      <c r="D56" s="78">
        <v>35000</v>
      </c>
      <c r="E56" s="59">
        <v>1.2</v>
      </c>
      <c r="F56" s="79" t="s">
        <v>21</v>
      </c>
      <c r="G56" s="61" t="s">
        <v>17</v>
      </c>
      <c r="H56" s="62">
        <f t="shared" si="1"/>
        <v>42000</v>
      </c>
      <c r="I56" s="63"/>
      <c r="J56" s="64"/>
      <c r="T56" s="66" t="e">
        <f>#VALUE!</f>
        <v>#VALUE!</v>
      </c>
      <c r="U56" s="66">
        <v>0</v>
      </c>
    </row>
    <row r="57" spans="1:21" s="65" customFormat="1">
      <c r="A57" s="55"/>
      <c r="B57" s="56" t="s">
        <v>114</v>
      </c>
      <c r="C57" s="57" t="s">
        <v>115</v>
      </c>
      <c r="D57" s="78">
        <v>45000</v>
      </c>
      <c r="E57" s="59">
        <v>1.1000000000000001</v>
      </c>
      <c r="F57" s="79" t="s">
        <v>21</v>
      </c>
      <c r="G57" s="61" t="s">
        <v>17</v>
      </c>
      <c r="H57" s="62">
        <f t="shared" si="1"/>
        <v>49500.000000000007</v>
      </c>
      <c r="I57" s="63"/>
      <c r="J57" s="64"/>
      <c r="T57" s="66" t="e">
        <f>#VALUE!</f>
        <v>#VALUE!</v>
      </c>
      <c r="U57" s="66">
        <v>0</v>
      </c>
    </row>
    <row r="58" spans="1:21" s="76" customFormat="1">
      <c r="A58" s="67"/>
      <c r="B58" s="68"/>
      <c r="C58" s="69" t="s">
        <v>116</v>
      </c>
      <c r="D58" s="69"/>
      <c r="E58" s="70"/>
      <c r="F58" s="81"/>
      <c r="G58" s="72"/>
      <c r="H58" s="87">
        <f>SUM(H59:H65)</f>
        <v>255000</v>
      </c>
      <c r="I58" s="74"/>
      <c r="J58" s="75"/>
      <c r="T58" s="77"/>
      <c r="U58" s="77"/>
    </row>
    <row r="59" spans="1:21" s="65" customFormat="1">
      <c r="A59" s="55"/>
      <c r="B59" s="56" t="s">
        <v>117</v>
      </c>
      <c r="C59" s="57" t="s">
        <v>103</v>
      </c>
      <c r="D59" s="78">
        <v>10000</v>
      </c>
      <c r="E59" s="59">
        <v>3.6</v>
      </c>
      <c r="F59" s="79" t="s">
        <v>21</v>
      </c>
      <c r="G59" s="61" t="s">
        <v>17</v>
      </c>
      <c r="H59" s="62">
        <f t="shared" ref="H59:H65" si="2">E59*D59</f>
        <v>36000</v>
      </c>
      <c r="I59" s="63"/>
      <c r="J59" s="64"/>
      <c r="T59" s="66" t="e">
        <f>#VALUE!</f>
        <v>#VALUE!</v>
      </c>
      <c r="U59" s="66">
        <v>0</v>
      </c>
    </row>
    <row r="60" spans="1:21" s="65" customFormat="1">
      <c r="A60" s="55"/>
      <c r="B60" s="56" t="s">
        <v>118</v>
      </c>
      <c r="C60" s="57" t="s">
        <v>105</v>
      </c>
      <c r="D60" s="78">
        <v>10000</v>
      </c>
      <c r="E60" s="59">
        <v>2.9</v>
      </c>
      <c r="F60" s="79" t="s">
        <v>21</v>
      </c>
      <c r="G60" s="61" t="s">
        <v>17</v>
      </c>
      <c r="H60" s="62">
        <f t="shared" si="2"/>
        <v>29000</v>
      </c>
      <c r="I60" s="63"/>
      <c r="J60" s="64"/>
      <c r="T60" s="66" t="e">
        <f>#VALUE!</f>
        <v>#VALUE!</v>
      </c>
      <c r="U60" s="66">
        <v>0</v>
      </c>
    </row>
    <row r="61" spans="1:21" s="65" customFormat="1">
      <c r="A61" s="55"/>
      <c r="B61" s="56" t="s">
        <v>119</v>
      </c>
      <c r="C61" s="57" t="s">
        <v>107</v>
      </c>
      <c r="D61" s="78">
        <v>20000</v>
      </c>
      <c r="E61" s="59">
        <v>2.6</v>
      </c>
      <c r="F61" s="79" t="s">
        <v>21</v>
      </c>
      <c r="G61" s="61" t="s">
        <v>17</v>
      </c>
      <c r="H61" s="62">
        <f t="shared" si="2"/>
        <v>52000</v>
      </c>
      <c r="I61" s="63"/>
      <c r="J61" s="64"/>
      <c r="T61" s="66" t="e">
        <f>#VALUE!</f>
        <v>#VALUE!</v>
      </c>
      <c r="U61" s="66">
        <v>0</v>
      </c>
    </row>
    <row r="62" spans="1:21" s="65" customFormat="1">
      <c r="A62" s="55"/>
      <c r="B62" s="56" t="s">
        <v>120</v>
      </c>
      <c r="C62" s="57" t="s">
        <v>109</v>
      </c>
      <c r="D62" s="78">
        <v>20000</v>
      </c>
      <c r="E62" s="59">
        <v>2</v>
      </c>
      <c r="F62" s="79" t="s">
        <v>21</v>
      </c>
      <c r="G62" s="61" t="s">
        <v>17</v>
      </c>
      <c r="H62" s="62">
        <f t="shared" si="2"/>
        <v>40000</v>
      </c>
      <c r="I62" s="63"/>
      <c r="J62" s="64"/>
      <c r="T62" s="66" t="e">
        <f>#VALUE!</f>
        <v>#VALUE!</v>
      </c>
      <c r="U62" s="66">
        <v>0</v>
      </c>
    </row>
    <row r="63" spans="1:21" s="65" customFormat="1">
      <c r="A63" s="55"/>
      <c r="B63" s="56" t="s">
        <v>121</v>
      </c>
      <c r="C63" s="57" t="s">
        <v>111</v>
      </c>
      <c r="D63" s="78">
        <v>25000</v>
      </c>
      <c r="E63" s="59">
        <v>1.4</v>
      </c>
      <c r="F63" s="79" t="s">
        <v>21</v>
      </c>
      <c r="G63" s="61" t="s">
        <v>17</v>
      </c>
      <c r="H63" s="62">
        <f t="shared" si="2"/>
        <v>35000</v>
      </c>
      <c r="I63" s="63"/>
      <c r="J63" s="64"/>
      <c r="T63" s="66" t="e">
        <f>#VALUE!</f>
        <v>#VALUE!</v>
      </c>
      <c r="U63" s="66">
        <v>0</v>
      </c>
    </row>
    <row r="64" spans="1:21" s="65" customFormat="1">
      <c r="A64" s="55"/>
      <c r="B64" s="56" t="s">
        <v>122</v>
      </c>
      <c r="C64" s="57" t="s">
        <v>113</v>
      </c>
      <c r="D64" s="78">
        <v>35000</v>
      </c>
      <c r="E64" s="59">
        <v>0.9</v>
      </c>
      <c r="F64" s="79" t="s">
        <v>21</v>
      </c>
      <c r="G64" s="61" t="s">
        <v>17</v>
      </c>
      <c r="H64" s="62">
        <f t="shared" si="2"/>
        <v>31500</v>
      </c>
      <c r="I64" s="63"/>
      <c r="J64" s="64"/>
      <c r="T64" s="66" t="e">
        <f>#VALUE!</f>
        <v>#VALUE!</v>
      </c>
      <c r="U64" s="66">
        <v>0</v>
      </c>
    </row>
    <row r="65" spans="1:21" s="65" customFormat="1">
      <c r="A65" s="55"/>
      <c r="B65" s="56" t="s">
        <v>123</v>
      </c>
      <c r="C65" s="57" t="s">
        <v>115</v>
      </c>
      <c r="D65" s="78">
        <v>45000</v>
      </c>
      <c r="E65" s="59">
        <v>0.7</v>
      </c>
      <c r="F65" s="79" t="s">
        <v>21</v>
      </c>
      <c r="G65" s="61" t="s">
        <v>17</v>
      </c>
      <c r="H65" s="62">
        <f t="shared" si="2"/>
        <v>31499.999999999996</v>
      </c>
      <c r="I65" s="63"/>
      <c r="J65" s="64"/>
      <c r="T65" s="66" t="e">
        <f>#VALUE!</f>
        <v>#VALUE!</v>
      </c>
      <c r="U65" s="66">
        <v>0</v>
      </c>
    </row>
    <row r="66" spans="1:21" s="53" customFormat="1">
      <c r="A66" s="44">
        <v>2</v>
      </c>
      <c r="B66" s="45"/>
      <c r="C66" s="89" t="s">
        <v>124</v>
      </c>
      <c r="D66" s="89"/>
      <c r="E66" s="47"/>
      <c r="F66" s="48"/>
      <c r="G66" s="49"/>
      <c r="H66" s="50">
        <f>+H67+H68+H71+H76+H81+H84+H87+H89+H93+H97+H101+H105+H109+H113+H118+H121+H128+H132+H136+H140+H144+H147+H149+H153</f>
        <v>20362667.5</v>
      </c>
      <c r="I66" s="90"/>
      <c r="J66" s="52"/>
      <c r="T66" s="54"/>
      <c r="U66" s="54"/>
    </row>
    <row r="67" spans="1:21" s="65" customFormat="1">
      <c r="A67" s="55"/>
      <c r="B67" s="56"/>
      <c r="C67" s="57" t="s">
        <v>15</v>
      </c>
      <c r="D67" s="91"/>
      <c r="E67" s="59">
        <v>1950</v>
      </c>
      <c r="F67" s="60" t="s">
        <v>16</v>
      </c>
      <c r="G67" s="61" t="s">
        <v>17</v>
      </c>
      <c r="H67" s="62">
        <f>E67*D67</f>
        <v>0</v>
      </c>
      <c r="I67" s="63"/>
      <c r="J67" s="64"/>
      <c r="T67" s="66" t="e">
        <f>#VALUE!</f>
        <v>#VALUE!</v>
      </c>
      <c r="U67" s="66">
        <v>0</v>
      </c>
    </row>
    <row r="68" spans="1:21" s="76" customFormat="1">
      <c r="A68" s="67"/>
      <c r="B68" s="83"/>
      <c r="C68" s="69" t="s">
        <v>125</v>
      </c>
      <c r="D68" s="69"/>
      <c r="E68" s="92"/>
      <c r="F68" s="81"/>
      <c r="G68" s="72"/>
      <c r="H68" s="87">
        <f>SUM(H69:H70)</f>
        <v>1912850</v>
      </c>
      <c r="I68" s="88" t="s">
        <v>126</v>
      </c>
      <c r="J68" s="75"/>
      <c r="T68" s="77"/>
      <c r="U68" s="77"/>
    </row>
    <row r="69" spans="1:21" s="65" customFormat="1">
      <c r="A69" s="55"/>
      <c r="B69" s="56" t="s">
        <v>127</v>
      </c>
      <c r="C69" s="57" t="s">
        <v>128</v>
      </c>
      <c r="D69" s="78">
        <f>(D10+D13+D16+D19+D22+D25+D28+D31+D34+D37)*0.7</f>
        <v>234499.99999999997</v>
      </c>
      <c r="E69" s="59">
        <v>3.7</v>
      </c>
      <c r="F69" s="79" t="s">
        <v>21</v>
      </c>
      <c r="G69" s="61" t="s">
        <v>17</v>
      </c>
      <c r="H69" s="62">
        <f>E69*D69</f>
        <v>867649.99999999988</v>
      </c>
      <c r="I69" s="63" t="s">
        <v>129</v>
      </c>
      <c r="J69" s="64"/>
      <c r="T69" s="66"/>
      <c r="U69" s="66"/>
    </row>
    <row r="70" spans="1:21" s="65" customFormat="1">
      <c r="A70" s="55"/>
      <c r="B70" s="56" t="s">
        <v>130</v>
      </c>
      <c r="C70" s="57" t="s">
        <v>131</v>
      </c>
      <c r="D70" s="78">
        <f>(D10+D13+D16+D19+D22+D25+D28+D31+D34+D37)*0.3</f>
        <v>100500</v>
      </c>
      <c r="E70" s="59">
        <v>10.4</v>
      </c>
      <c r="F70" s="79" t="s">
        <v>21</v>
      </c>
      <c r="G70" s="61" t="s">
        <v>17</v>
      </c>
      <c r="H70" s="62">
        <f>E70*D70</f>
        <v>1045200</v>
      </c>
      <c r="I70" s="63" t="s">
        <v>132</v>
      </c>
      <c r="J70" s="64"/>
      <c r="T70" s="66"/>
      <c r="U70" s="66"/>
    </row>
    <row r="71" spans="1:21" s="76" customFormat="1">
      <c r="A71" s="67"/>
      <c r="B71" s="68"/>
      <c r="C71" s="69" t="s">
        <v>133</v>
      </c>
      <c r="D71" s="69"/>
      <c r="E71" s="70"/>
      <c r="F71" s="71"/>
      <c r="G71" s="72"/>
      <c r="H71" s="87">
        <f>SUM(H72:H75)</f>
        <v>4689250</v>
      </c>
      <c r="I71" s="93" t="s">
        <v>134</v>
      </c>
      <c r="J71" s="75"/>
      <c r="T71" s="77"/>
      <c r="U71" s="77"/>
    </row>
    <row r="72" spans="1:21" s="65" customFormat="1" ht="15" customHeight="1">
      <c r="A72" s="55"/>
      <c r="B72" s="56" t="s">
        <v>135</v>
      </c>
      <c r="C72" s="57" t="s">
        <v>136</v>
      </c>
      <c r="D72" s="78">
        <f>D10+D13+D16++D19*0.5+D25+D31</f>
        <v>187500</v>
      </c>
      <c r="E72" s="94">
        <v>13.5</v>
      </c>
      <c r="F72" s="79" t="s">
        <v>21</v>
      </c>
      <c r="G72" s="61" t="s">
        <v>17</v>
      </c>
      <c r="H72" s="62">
        <f>E72*D72</f>
        <v>2531250</v>
      </c>
      <c r="I72" s="12" t="s">
        <v>137</v>
      </c>
      <c r="J72" s="64"/>
      <c r="T72" s="66"/>
      <c r="U72" s="66"/>
    </row>
    <row r="73" spans="1:21" s="65" customFormat="1">
      <c r="A73" s="55"/>
      <c r="B73" s="56" t="s">
        <v>138</v>
      </c>
      <c r="C73" s="57" t="s">
        <v>139</v>
      </c>
      <c r="D73" s="78">
        <f>D22</f>
        <v>35000</v>
      </c>
      <c r="E73" s="59">
        <v>16.600000000000001</v>
      </c>
      <c r="F73" s="79" t="s">
        <v>21</v>
      </c>
      <c r="G73" s="61" t="s">
        <v>17</v>
      </c>
      <c r="H73" s="62">
        <f>E73*D73</f>
        <v>581000</v>
      </c>
      <c r="I73" s="12"/>
      <c r="J73" s="64"/>
      <c r="T73" s="66"/>
      <c r="U73" s="66"/>
    </row>
    <row r="74" spans="1:21" s="65" customFormat="1">
      <c r="A74" s="55"/>
      <c r="B74" s="56" t="s">
        <v>140</v>
      </c>
      <c r="C74" s="57" t="s">
        <v>141</v>
      </c>
      <c r="D74" s="78">
        <f>D31</f>
        <v>25000</v>
      </c>
      <c r="E74" s="59">
        <v>16.600000000000001</v>
      </c>
      <c r="F74" s="79" t="s">
        <v>21</v>
      </c>
      <c r="G74" s="61" t="s">
        <v>17</v>
      </c>
      <c r="H74" s="62">
        <f>E74*D74</f>
        <v>415000.00000000006</v>
      </c>
      <c r="I74" s="12"/>
      <c r="J74" s="64"/>
      <c r="T74" s="66"/>
      <c r="U74" s="66"/>
    </row>
    <row r="75" spans="1:21" s="65" customFormat="1">
      <c r="A75" s="55"/>
      <c r="B75" s="56" t="s">
        <v>142</v>
      </c>
      <c r="C75" s="57" t="s">
        <v>143</v>
      </c>
      <c r="D75" s="78">
        <f>D34+D37</f>
        <v>70000</v>
      </c>
      <c r="E75" s="59">
        <v>16.600000000000001</v>
      </c>
      <c r="F75" s="79" t="s">
        <v>21</v>
      </c>
      <c r="G75" s="61" t="s">
        <v>17</v>
      </c>
      <c r="H75" s="62">
        <f>E75*D75</f>
        <v>1162000</v>
      </c>
      <c r="I75" s="12"/>
      <c r="J75" s="64"/>
      <c r="T75" s="66"/>
      <c r="U75" s="66"/>
    </row>
    <row r="76" spans="1:21" s="76" customFormat="1">
      <c r="A76" s="67"/>
      <c r="B76" s="68"/>
      <c r="C76" s="69" t="s">
        <v>144</v>
      </c>
      <c r="D76" s="69"/>
      <c r="E76" s="70"/>
      <c r="F76" s="71"/>
      <c r="G76" s="72"/>
      <c r="H76" s="87">
        <f>SUM(H77:H80)</f>
        <v>781049.99999999988</v>
      </c>
      <c r="I76" s="93" t="s">
        <v>145</v>
      </c>
      <c r="J76" s="75"/>
      <c r="T76" s="77"/>
      <c r="U76" s="77"/>
    </row>
    <row r="77" spans="1:21" s="65" customFormat="1">
      <c r="A77" s="55"/>
      <c r="B77" s="56" t="s">
        <v>146</v>
      </c>
      <c r="C77" s="57" t="s">
        <v>136</v>
      </c>
      <c r="D77" s="78">
        <f>D72*0.3</f>
        <v>56250</v>
      </c>
      <c r="E77" s="94">
        <v>8.1999999999999993</v>
      </c>
      <c r="F77" s="79" t="s">
        <v>21</v>
      </c>
      <c r="G77" s="61" t="s">
        <v>17</v>
      </c>
      <c r="H77" s="62">
        <f>E77*D77</f>
        <v>461249.99999999994</v>
      </c>
      <c r="I77" s="95">
        <v>0.3</v>
      </c>
      <c r="J77" s="64"/>
      <c r="T77" s="66"/>
      <c r="U77" s="66"/>
    </row>
    <row r="78" spans="1:21" s="65" customFormat="1">
      <c r="A78" s="55"/>
      <c r="B78" s="56" t="s">
        <v>147</v>
      </c>
      <c r="C78" s="57" t="s">
        <v>139</v>
      </c>
      <c r="D78" s="78">
        <f>D73*0.3</f>
        <v>10500</v>
      </c>
      <c r="E78" s="94">
        <v>8.1999999999999993</v>
      </c>
      <c r="F78" s="79" t="s">
        <v>21</v>
      </c>
      <c r="G78" s="61" t="s">
        <v>17</v>
      </c>
      <c r="H78" s="62">
        <f>E78*D78</f>
        <v>86099.999999999985</v>
      </c>
      <c r="I78" s="95">
        <v>0.3</v>
      </c>
      <c r="J78" s="64"/>
      <c r="T78" s="66"/>
      <c r="U78" s="66"/>
    </row>
    <row r="79" spans="1:21" s="65" customFormat="1">
      <c r="A79" s="55"/>
      <c r="B79" s="56" t="s">
        <v>148</v>
      </c>
      <c r="C79" s="57" t="s">
        <v>141</v>
      </c>
      <c r="D79" s="78">
        <f>D74*0.3</f>
        <v>7500</v>
      </c>
      <c r="E79" s="94">
        <v>8.1999999999999993</v>
      </c>
      <c r="F79" s="79" t="s">
        <v>21</v>
      </c>
      <c r="G79" s="61" t="s">
        <v>17</v>
      </c>
      <c r="H79" s="62">
        <f>E79*D79</f>
        <v>61499.999999999993</v>
      </c>
      <c r="I79" s="95">
        <v>0.3</v>
      </c>
      <c r="J79" s="64"/>
      <c r="T79" s="66"/>
      <c r="U79" s="66"/>
    </row>
    <row r="80" spans="1:21" s="65" customFormat="1">
      <c r="A80" s="55"/>
      <c r="B80" s="56" t="s">
        <v>149</v>
      </c>
      <c r="C80" s="57" t="s">
        <v>143</v>
      </c>
      <c r="D80" s="78">
        <f>D75*0.3</f>
        <v>21000</v>
      </c>
      <c r="E80" s="94">
        <v>8.1999999999999993</v>
      </c>
      <c r="F80" s="79" t="s">
        <v>21</v>
      </c>
      <c r="G80" s="61" t="s">
        <v>17</v>
      </c>
      <c r="H80" s="62">
        <f>E80*D80</f>
        <v>172199.99999999997</v>
      </c>
      <c r="I80" s="95">
        <v>0.3</v>
      </c>
      <c r="J80" s="64"/>
      <c r="T80" s="66"/>
      <c r="U80" s="66"/>
    </row>
    <row r="81" spans="1:21" s="76" customFormat="1" ht="30">
      <c r="A81" s="67"/>
      <c r="B81" s="68"/>
      <c r="C81" s="69" t="s">
        <v>150</v>
      </c>
      <c r="D81" s="69"/>
      <c r="E81" s="70"/>
      <c r="F81" s="71"/>
      <c r="G81" s="72"/>
      <c r="H81" s="87">
        <f>SUM(H82:H83)</f>
        <v>450562.5</v>
      </c>
      <c r="I81" s="93" t="s">
        <v>151</v>
      </c>
      <c r="J81" s="75"/>
      <c r="T81" s="77"/>
      <c r="U81" s="77"/>
    </row>
    <row r="82" spans="1:21" s="65" customFormat="1">
      <c r="A82" s="55"/>
      <c r="B82" s="56" t="s">
        <v>152</v>
      </c>
      <c r="C82" s="57" t="s">
        <v>136</v>
      </c>
      <c r="D82" s="78">
        <f>D72*0.15</f>
        <v>28125</v>
      </c>
      <c r="E82" s="94">
        <v>13.5</v>
      </c>
      <c r="F82" s="79" t="s">
        <v>21</v>
      </c>
      <c r="G82" s="61" t="s">
        <v>17</v>
      </c>
      <c r="H82" s="62">
        <f>E82*D82</f>
        <v>379687.5</v>
      </c>
      <c r="I82" s="95">
        <v>0.15</v>
      </c>
      <c r="J82" s="64"/>
      <c r="T82" s="66"/>
      <c r="U82" s="66"/>
    </row>
    <row r="83" spans="1:21" s="65" customFormat="1">
      <c r="A83" s="55"/>
      <c r="B83" s="56" t="s">
        <v>153</v>
      </c>
      <c r="C83" s="57" t="s">
        <v>139</v>
      </c>
      <c r="D83" s="78">
        <f>D73*0.15</f>
        <v>5250</v>
      </c>
      <c r="E83" s="94">
        <v>13.5</v>
      </c>
      <c r="F83" s="79" t="s">
        <v>21</v>
      </c>
      <c r="G83" s="61" t="s">
        <v>17</v>
      </c>
      <c r="H83" s="62">
        <f>E83*D83</f>
        <v>70875</v>
      </c>
      <c r="I83" s="95">
        <v>0.15</v>
      </c>
      <c r="J83" s="64"/>
      <c r="T83" s="66"/>
      <c r="U83" s="66"/>
    </row>
    <row r="84" spans="1:21" s="76" customFormat="1">
      <c r="A84" s="67"/>
      <c r="B84" s="68"/>
      <c r="C84" s="69" t="s">
        <v>154</v>
      </c>
      <c r="D84" s="69"/>
      <c r="E84" s="70"/>
      <c r="F84" s="71"/>
      <c r="G84" s="72"/>
      <c r="H84" s="87">
        <f>SUM(H85:H86)</f>
        <v>714225</v>
      </c>
      <c r="I84" s="93" t="s">
        <v>155</v>
      </c>
      <c r="J84" s="75"/>
      <c r="T84" s="77"/>
      <c r="U84" s="77"/>
    </row>
    <row r="85" spans="1:21" s="65" customFormat="1">
      <c r="A85" s="55"/>
      <c r="B85" s="56" t="s">
        <v>156</v>
      </c>
      <c r="C85" s="57" t="s">
        <v>136</v>
      </c>
      <c r="D85" s="78">
        <f>D77</f>
        <v>56250</v>
      </c>
      <c r="E85" s="94">
        <v>10.7</v>
      </c>
      <c r="F85" s="79" t="s">
        <v>21</v>
      </c>
      <c r="G85" s="61" t="s">
        <v>17</v>
      </c>
      <c r="H85" s="62">
        <f>E85*D85</f>
        <v>601875</v>
      </c>
      <c r="I85" s="95">
        <v>0.3</v>
      </c>
      <c r="J85" s="64"/>
      <c r="T85" s="66"/>
      <c r="U85" s="66"/>
    </row>
    <row r="86" spans="1:21" s="65" customFormat="1">
      <c r="A86" s="55"/>
      <c r="B86" s="56" t="s">
        <v>157</v>
      </c>
      <c r="C86" s="57" t="s">
        <v>139</v>
      </c>
      <c r="D86" s="78">
        <f>D78</f>
        <v>10500</v>
      </c>
      <c r="E86" s="94">
        <v>10.7</v>
      </c>
      <c r="F86" s="79" t="s">
        <v>21</v>
      </c>
      <c r="G86" s="61" t="s">
        <v>17</v>
      </c>
      <c r="H86" s="62">
        <f>E86*D86</f>
        <v>112349.99999999999</v>
      </c>
      <c r="I86" s="95">
        <v>0.3</v>
      </c>
      <c r="J86" s="64"/>
      <c r="T86" s="66"/>
      <c r="U86" s="66"/>
    </row>
    <row r="87" spans="1:21" s="76" customFormat="1">
      <c r="A87" s="67"/>
      <c r="B87" s="68"/>
      <c r="C87" s="69" t="s">
        <v>158</v>
      </c>
      <c r="D87" s="69"/>
      <c r="E87" s="70"/>
      <c r="F87" s="71"/>
      <c r="G87" s="72"/>
      <c r="H87" s="87">
        <f>SUM(H88)</f>
        <v>312000</v>
      </c>
      <c r="I87" s="93" t="s">
        <v>159</v>
      </c>
      <c r="J87" s="75"/>
      <c r="T87" s="77"/>
      <c r="U87" s="77"/>
    </row>
    <row r="88" spans="1:21" s="65" customFormat="1">
      <c r="A88" s="55"/>
      <c r="B88" s="56" t="s">
        <v>160</v>
      </c>
      <c r="C88" s="57" t="s">
        <v>161</v>
      </c>
      <c r="D88" s="78">
        <v>20000</v>
      </c>
      <c r="E88" s="94">
        <v>15.6</v>
      </c>
      <c r="F88" s="79" t="s">
        <v>21</v>
      </c>
      <c r="G88" s="61" t="s">
        <v>17</v>
      </c>
      <c r="H88" s="62">
        <f>E88*D88</f>
        <v>312000</v>
      </c>
      <c r="I88" s="63"/>
      <c r="J88" s="64"/>
      <c r="T88" s="66"/>
      <c r="U88" s="66"/>
    </row>
    <row r="89" spans="1:21" s="76" customFormat="1" ht="30">
      <c r="A89" s="67"/>
      <c r="B89" s="68"/>
      <c r="C89" s="69" t="s">
        <v>162</v>
      </c>
      <c r="D89" s="69"/>
      <c r="E89" s="70"/>
      <c r="F89" s="71"/>
      <c r="G89" s="72"/>
      <c r="H89" s="87">
        <f>SUM(H90:H92)</f>
        <v>1134750</v>
      </c>
      <c r="I89" s="93" t="s">
        <v>163</v>
      </c>
      <c r="J89" s="75"/>
      <c r="T89" s="77"/>
      <c r="U89" s="77"/>
    </row>
    <row r="90" spans="1:21" s="65" customFormat="1">
      <c r="A90" s="55"/>
      <c r="B90" s="56" t="s">
        <v>164</v>
      </c>
      <c r="C90" s="57" t="s">
        <v>136</v>
      </c>
      <c r="D90" s="78">
        <f>D72</f>
        <v>187500</v>
      </c>
      <c r="E90" s="94">
        <v>3.7</v>
      </c>
      <c r="F90" s="79" t="s">
        <v>21</v>
      </c>
      <c r="G90" s="61" t="s">
        <v>17</v>
      </c>
      <c r="H90" s="62">
        <f>E90*D90</f>
        <v>693750</v>
      </c>
      <c r="I90" s="63" t="s">
        <v>165</v>
      </c>
      <c r="J90" s="64"/>
      <c r="T90" s="66"/>
      <c r="U90" s="66"/>
    </row>
    <row r="91" spans="1:21" s="65" customFormat="1">
      <c r="A91" s="55"/>
      <c r="B91" s="56" t="s">
        <v>166</v>
      </c>
      <c r="C91" s="57" t="s">
        <v>139</v>
      </c>
      <c r="D91" s="78">
        <f>D73</f>
        <v>35000</v>
      </c>
      <c r="E91" s="94">
        <v>5.2</v>
      </c>
      <c r="F91" s="79" t="s">
        <v>21</v>
      </c>
      <c r="G91" s="61" t="s">
        <v>17</v>
      </c>
      <c r="H91" s="62">
        <f>E91*D91</f>
        <v>182000</v>
      </c>
      <c r="I91" s="63" t="s">
        <v>167</v>
      </c>
      <c r="J91" s="64"/>
      <c r="T91" s="66"/>
      <c r="U91" s="66"/>
    </row>
    <row r="92" spans="1:21" s="65" customFormat="1">
      <c r="A92" s="55"/>
      <c r="B92" s="56" t="s">
        <v>168</v>
      </c>
      <c r="C92" s="57" t="s">
        <v>143</v>
      </c>
      <c r="D92" s="78">
        <f>D75</f>
        <v>70000</v>
      </c>
      <c r="E92" s="94">
        <v>3.7</v>
      </c>
      <c r="F92" s="79" t="s">
        <v>21</v>
      </c>
      <c r="G92" s="61" t="s">
        <v>17</v>
      </c>
      <c r="H92" s="62">
        <f>E92*D92</f>
        <v>259000</v>
      </c>
      <c r="I92" s="63" t="s">
        <v>169</v>
      </c>
      <c r="J92" s="64"/>
      <c r="T92" s="66"/>
      <c r="U92" s="66"/>
    </row>
    <row r="93" spans="1:21" s="76" customFormat="1" ht="60">
      <c r="A93" s="67"/>
      <c r="B93" s="68"/>
      <c r="C93" s="84" t="s">
        <v>170</v>
      </c>
      <c r="D93" s="84"/>
      <c r="E93" s="70"/>
      <c r="F93" s="71"/>
      <c r="G93" s="72"/>
      <c r="H93" s="87">
        <f>SUM(H94:H96)</f>
        <v>1134750</v>
      </c>
      <c r="I93" s="93" t="s">
        <v>171</v>
      </c>
      <c r="J93" s="75"/>
      <c r="T93" s="77"/>
      <c r="U93" s="77"/>
    </row>
    <row r="94" spans="1:21" s="65" customFormat="1">
      <c r="A94" s="55"/>
      <c r="B94" s="56" t="s">
        <v>172</v>
      </c>
      <c r="C94" s="57" t="s">
        <v>136</v>
      </c>
      <c r="D94" s="78">
        <f>D90</f>
        <v>187500</v>
      </c>
      <c r="E94" s="94">
        <v>3.7</v>
      </c>
      <c r="F94" s="79" t="s">
        <v>21</v>
      </c>
      <c r="G94" s="61" t="s">
        <v>17</v>
      </c>
      <c r="H94" s="62">
        <f>E94*D94</f>
        <v>693750</v>
      </c>
      <c r="I94" s="63" t="str">
        <f>I90</f>
        <v>Item 2.3</v>
      </c>
      <c r="J94" s="64"/>
      <c r="T94" s="66"/>
      <c r="U94" s="66"/>
    </row>
    <row r="95" spans="1:21" s="65" customFormat="1">
      <c r="A95" s="55"/>
      <c r="B95" s="56" t="s">
        <v>173</v>
      </c>
      <c r="C95" s="57" t="s">
        <v>139</v>
      </c>
      <c r="D95" s="78">
        <f>D91</f>
        <v>35000</v>
      </c>
      <c r="E95" s="94">
        <v>5.2</v>
      </c>
      <c r="F95" s="79" t="s">
        <v>21</v>
      </c>
      <c r="G95" s="61" t="s">
        <v>17</v>
      </c>
      <c r="H95" s="62">
        <f>E95*D95</f>
        <v>182000</v>
      </c>
      <c r="I95" s="63" t="str">
        <f>I91</f>
        <v>Item 2.4</v>
      </c>
      <c r="J95" s="64"/>
      <c r="T95" s="66"/>
      <c r="U95" s="66"/>
    </row>
    <row r="96" spans="1:21" s="65" customFormat="1">
      <c r="A96" s="55"/>
      <c r="B96" s="56" t="s">
        <v>174</v>
      </c>
      <c r="C96" s="57" t="s">
        <v>143</v>
      </c>
      <c r="D96" s="78">
        <f>D92</f>
        <v>70000</v>
      </c>
      <c r="E96" s="94">
        <v>3.7</v>
      </c>
      <c r="F96" s="79" t="s">
        <v>21</v>
      </c>
      <c r="G96" s="61" t="s">
        <v>17</v>
      </c>
      <c r="H96" s="62">
        <f>E96*D96</f>
        <v>259000</v>
      </c>
      <c r="I96" s="63" t="str">
        <f>I92</f>
        <v>Item 2.6</v>
      </c>
      <c r="J96" s="64"/>
      <c r="T96" s="66"/>
      <c r="U96" s="66"/>
    </row>
    <row r="97" spans="1:21" s="76" customFormat="1" ht="30">
      <c r="A97" s="67"/>
      <c r="B97" s="68"/>
      <c r="C97" s="69" t="s">
        <v>175</v>
      </c>
      <c r="D97" s="69"/>
      <c r="E97" s="70"/>
      <c r="F97" s="71"/>
      <c r="G97" s="72"/>
      <c r="H97" s="87">
        <f>SUM(H98:H100)</f>
        <v>429975</v>
      </c>
      <c r="I97" s="93" t="s">
        <v>176</v>
      </c>
      <c r="J97" s="75"/>
      <c r="T97" s="77"/>
      <c r="U97" s="77"/>
    </row>
    <row r="98" spans="1:21" s="65" customFormat="1">
      <c r="A98" s="55"/>
      <c r="B98" s="56" t="s">
        <v>177</v>
      </c>
      <c r="C98" s="57" t="s">
        <v>136</v>
      </c>
      <c r="D98" s="78">
        <f>D94*I98</f>
        <v>131250</v>
      </c>
      <c r="E98" s="94">
        <v>2.1</v>
      </c>
      <c r="F98" s="79" t="s">
        <v>21</v>
      </c>
      <c r="G98" s="61" t="s">
        <v>17</v>
      </c>
      <c r="H98" s="62">
        <f>E98*D98</f>
        <v>275625</v>
      </c>
      <c r="I98" s="95">
        <v>0.7</v>
      </c>
      <c r="J98" s="64"/>
      <c r="T98" s="66"/>
      <c r="U98" s="66"/>
    </row>
    <row r="99" spans="1:21" s="65" customFormat="1">
      <c r="A99" s="55"/>
      <c r="B99" s="56" t="s">
        <v>178</v>
      </c>
      <c r="C99" s="57" t="s">
        <v>139</v>
      </c>
      <c r="D99" s="78">
        <f>D95*I99</f>
        <v>24500</v>
      </c>
      <c r="E99" s="94">
        <v>2.1</v>
      </c>
      <c r="F99" s="79" t="s">
        <v>21</v>
      </c>
      <c r="G99" s="61" t="s">
        <v>17</v>
      </c>
      <c r="H99" s="62">
        <f>E99*D99</f>
        <v>51450</v>
      </c>
      <c r="I99" s="95">
        <v>0.7</v>
      </c>
      <c r="J99" s="64"/>
      <c r="T99" s="66"/>
      <c r="U99" s="66"/>
    </row>
    <row r="100" spans="1:21" s="65" customFormat="1">
      <c r="A100" s="55"/>
      <c r="B100" s="56" t="s">
        <v>179</v>
      </c>
      <c r="C100" s="57" t="s">
        <v>143</v>
      </c>
      <c r="D100" s="78">
        <f>D96*I100</f>
        <v>49000</v>
      </c>
      <c r="E100" s="94">
        <v>2.1</v>
      </c>
      <c r="F100" s="79" t="s">
        <v>21</v>
      </c>
      <c r="G100" s="61" t="s">
        <v>17</v>
      </c>
      <c r="H100" s="62">
        <f>E100*D100</f>
        <v>102900</v>
      </c>
      <c r="I100" s="95">
        <v>0.7</v>
      </c>
      <c r="J100" s="64"/>
      <c r="T100" s="66"/>
      <c r="U100" s="66"/>
    </row>
    <row r="101" spans="1:21" s="76" customFormat="1" ht="30">
      <c r="A101" s="67"/>
      <c r="B101" s="68"/>
      <c r="C101" s="69" t="s">
        <v>180</v>
      </c>
      <c r="D101" s="69"/>
      <c r="E101" s="70"/>
      <c r="F101" s="71"/>
      <c r="G101" s="72"/>
      <c r="H101" s="87">
        <f>SUM(H102:H104)</f>
        <v>272025</v>
      </c>
      <c r="I101" s="93" t="s">
        <v>176</v>
      </c>
      <c r="J101" s="75"/>
      <c r="T101" s="77"/>
      <c r="U101" s="77"/>
    </row>
    <row r="102" spans="1:21" s="65" customFormat="1">
      <c r="A102" s="55"/>
      <c r="B102" s="56" t="s">
        <v>181</v>
      </c>
      <c r="C102" s="57" t="s">
        <v>136</v>
      </c>
      <c r="D102" s="78">
        <f>D94*I102</f>
        <v>56250</v>
      </c>
      <c r="E102" s="94">
        <v>3.1</v>
      </c>
      <c r="F102" s="79" t="s">
        <v>21</v>
      </c>
      <c r="G102" s="61" t="s">
        <v>17</v>
      </c>
      <c r="H102" s="62">
        <f>E102*D102</f>
        <v>174375</v>
      </c>
      <c r="I102" s="95">
        <v>0.3</v>
      </c>
      <c r="J102" s="64"/>
      <c r="T102" s="66"/>
      <c r="U102" s="66"/>
    </row>
    <row r="103" spans="1:21" s="65" customFormat="1">
      <c r="A103" s="55"/>
      <c r="B103" s="56" t="s">
        <v>182</v>
      </c>
      <c r="C103" s="57" t="s">
        <v>139</v>
      </c>
      <c r="D103" s="78">
        <f>D95*I103</f>
        <v>10500</v>
      </c>
      <c r="E103" s="94">
        <v>3.1</v>
      </c>
      <c r="F103" s="79" t="s">
        <v>21</v>
      </c>
      <c r="G103" s="61" t="s">
        <v>17</v>
      </c>
      <c r="H103" s="62">
        <f>E103*D103</f>
        <v>32550</v>
      </c>
      <c r="I103" s="95">
        <v>0.3</v>
      </c>
      <c r="J103" s="64"/>
      <c r="T103" s="66"/>
      <c r="U103" s="66"/>
    </row>
    <row r="104" spans="1:21" s="65" customFormat="1">
      <c r="A104" s="55"/>
      <c r="B104" s="56" t="s">
        <v>183</v>
      </c>
      <c r="C104" s="57" t="s">
        <v>143</v>
      </c>
      <c r="D104" s="78">
        <f>D96*I104</f>
        <v>21000</v>
      </c>
      <c r="E104" s="94">
        <v>3.1</v>
      </c>
      <c r="F104" s="79" t="s">
        <v>21</v>
      </c>
      <c r="G104" s="61" t="s">
        <v>17</v>
      </c>
      <c r="H104" s="62">
        <f>E104*D104</f>
        <v>65100</v>
      </c>
      <c r="I104" s="95">
        <v>0.3</v>
      </c>
      <c r="J104" s="64"/>
      <c r="T104" s="66"/>
      <c r="U104" s="66"/>
    </row>
    <row r="105" spans="1:21" s="76" customFormat="1">
      <c r="A105" s="67"/>
      <c r="B105" s="68"/>
      <c r="C105" s="69" t="s">
        <v>184</v>
      </c>
      <c r="D105" s="69"/>
      <c r="E105" s="70"/>
      <c r="F105" s="71"/>
      <c r="G105" s="72"/>
      <c r="H105" s="87">
        <f>SUM(H106:H108)</f>
        <v>276180</v>
      </c>
      <c r="I105" s="93" t="s">
        <v>185</v>
      </c>
      <c r="J105" s="75"/>
      <c r="T105" s="77"/>
      <c r="U105" s="77"/>
    </row>
    <row r="106" spans="1:21" s="65" customFormat="1">
      <c r="A106" s="55"/>
      <c r="B106" s="56" t="s">
        <v>186</v>
      </c>
      <c r="C106" s="57" t="s">
        <v>187</v>
      </c>
      <c r="D106" s="78">
        <f>SUM(D59:D65)*0.3</f>
        <v>49500</v>
      </c>
      <c r="E106" s="94">
        <v>1.7</v>
      </c>
      <c r="F106" s="79" t="s">
        <v>21</v>
      </c>
      <c r="G106" s="61" t="s">
        <v>17</v>
      </c>
      <c r="H106" s="62">
        <f>E106*D106</f>
        <v>84150</v>
      </c>
      <c r="I106" s="63" t="s">
        <v>188</v>
      </c>
      <c r="J106" s="64"/>
      <c r="T106" s="66"/>
      <c r="U106" s="66"/>
    </row>
    <row r="107" spans="1:21" s="65" customFormat="1" ht="60">
      <c r="A107" s="55"/>
      <c r="B107" s="56" t="s">
        <v>189</v>
      </c>
      <c r="C107" s="57" t="s">
        <v>190</v>
      </c>
      <c r="D107" s="78">
        <f>105*68*5</f>
        <v>35700</v>
      </c>
      <c r="E107" s="94">
        <v>1.9</v>
      </c>
      <c r="F107" s="79" t="s">
        <v>21</v>
      </c>
      <c r="G107" s="61" t="s">
        <v>17</v>
      </c>
      <c r="H107" s="62">
        <f>E107*D107</f>
        <v>67830</v>
      </c>
      <c r="I107" s="63" t="s">
        <v>191</v>
      </c>
      <c r="J107" s="64"/>
      <c r="T107" s="66"/>
      <c r="U107" s="66"/>
    </row>
    <row r="108" spans="1:21" s="65" customFormat="1" ht="45">
      <c r="A108" s="55"/>
      <c r="B108" s="56" t="s">
        <v>192</v>
      </c>
      <c r="C108" s="57" t="s">
        <v>193</v>
      </c>
      <c r="D108" s="78">
        <f>120*90*5</f>
        <v>54000</v>
      </c>
      <c r="E108" s="94">
        <v>2.2999999999999998</v>
      </c>
      <c r="F108" s="79" t="s">
        <v>21</v>
      </c>
      <c r="G108" s="61" t="s">
        <v>17</v>
      </c>
      <c r="H108" s="62">
        <f>E108*D108</f>
        <v>124199.99999999999</v>
      </c>
      <c r="I108" s="63" t="s">
        <v>194</v>
      </c>
      <c r="J108" s="64"/>
      <c r="T108" s="66"/>
      <c r="U108" s="66"/>
    </row>
    <row r="109" spans="1:21" s="76" customFormat="1" ht="30">
      <c r="A109" s="67"/>
      <c r="B109" s="68"/>
      <c r="C109" s="69" t="s">
        <v>195</v>
      </c>
      <c r="D109" s="69"/>
      <c r="E109" s="70"/>
      <c r="F109" s="71"/>
      <c r="G109" s="72"/>
      <c r="H109" s="87">
        <f>SUM(H110:H112)</f>
        <v>1302250</v>
      </c>
      <c r="I109" s="93" t="s">
        <v>196</v>
      </c>
      <c r="J109" s="75"/>
      <c r="T109" s="77"/>
      <c r="U109" s="77"/>
    </row>
    <row r="110" spans="1:21" s="65" customFormat="1">
      <c r="A110" s="55"/>
      <c r="B110" s="56" t="s">
        <v>197</v>
      </c>
      <c r="C110" s="57" t="s">
        <v>198</v>
      </c>
      <c r="D110" s="78">
        <f>D72</f>
        <v>187500</v>
      </c>
      <c r="E110" s="94">
        <v>2.9</v>
      </c>
      <c r="F110" s="79" t="s">
        <v>21</v>
      </c>
      <c r="G110" s="61" t="s">
        <v>17</v>
      </c>
      <c r="H110" s="62">
        <f>E110*D110</f>
        <v>543750</v>
      </c>
      <c r="I110" s="96" t="str">
        <f>C72</f>
        <v>Edificações em Geral</v>
      </c>
      <c r="J110" s="64"/>
      <c r="T110" s="66"/>
      <c r="U110" s="66"/>
    </row>
    <row r="111" spans="1:21" s="65" customFormat="1">
      <c r="A111" s="55"/>
      <c r="B111" s="56" t="s">
        <v>199</v>
      </c>
      <c r="C111" s="57" t="s">
        <v>200</v>
      </c>
      <c r="D111" s="78">
        <f>D74+D75</f>
        <v>95000</v>
      </c>
      <c r="E111" s="94">
        <v>5.7</v>
      </c>
      <c r="F111" s="79" t="s">
        <v>21</v>
      </c>
      <c r="G111" s="61" t="s">
        <v>17</v>
      </c>
      <c r="H111" s="62">
        <f>E111*D111</f>
        <v>541500</v>
      </c>
      <c r="I111" s="63" t="str">
        <f>C74&amp;" e "&amp;C75</f>
        <v>Penitenciárias e Presídios e Teatros, Auditórios, Centros de Convenções</v>
      </c>
      <c r="J111" s="64"/>
      <c r="T111" s="66"/>
      <c r="U111" s="66"/>
    </row>
    <row r="112" spans="1:21" s="65" customFormat="1">
      <c r="A112" s="55"/>
      <c r="B112" s="56" t="s">
        <v>201</v>
      </c>
      <c r="C112" s="57" t="s">
        <v>202</v>
      </c>
      <c r="D112" s="78">
        <f>D73</f>
        <v>35000</v>
      </c>
      <c r="E112" s="94">
        <v>6.2</v>
      </c>
      <c r="F112" s="79" t="s">
        <v>21</v>
      </c>
      <c r="G112" s="61" t="s">
        <v>17</v>
      </c>
      <c r="H112" s="62">
        <f>E112*D112</f>
        <v>217000</v>
      </c>
      <c r="I112" s="96" t="str">
        <f>C73</f>
        <v>Edifícios Hospitalares e de Saúde</v>
      </c>
      <c r="J112" s="64"/>
      <c r="T112" s="66"/>
      <c r="U112" s="66"/>
    </row>
    <row r="113" spans="1:21" s="76" customFormat="1" ht="30">
      <c r="A113" s="67"/>
      <c r="B113" s="68"/>
      <c r="C113" s="69" t="s">
        <v>203</v>
      </c>
      <c r="D113" s="69"/>
      <c r="E113" s="70"/>
      <c r="F113" s="71"/>
      <c r="G113" s="72"/>
      <c r="H113" s="87">
        <f>SUM(H114:H117)</f>
        <v>375250</v>
      </c>
      <c r="I113" s="93"/>
      <c r="J113" s="75"/>
      <c r="T113" s="77"/>
      <c r="U113" s="77"/>
    </row>
    <row r="114" spans="1:21" s="65" customFormat="1">
      <c r="A114" s="55"/>
      <c r="B114" s="56" t="s">
        <v>204</v>
      </c>
      <c r="C114" s="57" t="s">
        <v>205</v>
      </c>
      <c r="D114" s="91">
        <v>50</v>
      </c>
      <c r="E114" s="94">
        <v>1700</v>
      </c>
      <c r="F114" s="79" t="s">
        <v>206</v>
      </c>
      <c r="G114" s="61" t="s">
        <v>17</v>
      </c>
      <c r="H114" s="62">
        <f>E114*D114</f>
        <v>85000</v>
      </c>
      <c r="I114" s="63" t="s">
        <v>207</v>
      </c>
      <c r="J114" s="64"/>
      <c r="T114" s="66"/>
      <c r="U114" s="66"/>
    </row>
    <row r="115" spans="1:21" s="65" customFormat="1">
      <c r="A115" s="55"/>
      <c r="B115" s="56" t="s">
        <v>208</v>
      </c>
      <c r="C115" s="57" t="s">
        <v>209</v>
      </c>
      <c r="D115" s="91">
        <v>30</v>
      </c>
      <c r="E115" s="94">
        <v>2300</v>
      </c>
      <c r="F115" s="79" t="s">
        <v>206</v>
      </c>
      <c r="G115" s="61" t="s">
        <v>17</v>
      </c>
      <c r="H115" s="62">
        <f>E115*D115</f>
        <v>69000</v>
      </c>
      <c r="I115" s="63" t="s">
        <v>207</v>
      </c>
      <c r="J115" s="64"/>
      <c r="T115" s="66"/>
      <c r="U115" s="66"/>
    </row>
    <row r="116" spans="1:21" s="65" customFormat="1">
      <c r="A116" s="55"/>
      <c r="B116" s="56" t="s">
        <v>210</v>
      </c>
      <c r="C116" s="57" t="s">
        <v>211</v>
      </c>
      <c r="D116" s="91">
        <v>30</v>
      </c>
      <c r="E116" s="94">
        <v>3000</v>
      </c>
      <c r="F116" s="79" t="s">
        <v>206</v>
      </c>
      <c r="G116" s="61" t="s">
        <v>17</v>
      </c>
      <c r="H116" s="62">
        <f>E116*D116</f>
        <v>90000</v>
      </c>
      <c r="I116" s="63" t="s">
        <v>207</v>
      </c>
      <c r="J116" s="64"/>
      <c r="T116" s="66"/>
      <c r="U116" s="66"/>
    </row>
    <row r="117" spans="1:21" s="65" customFormat="1">
      <c r="A117" s="55"/>
      <c r="B117" s="56" t="s">
        <v>212</v>
      </c>
      <c r="C117" s="57" t="s">
        <v>213</v>
      </c>
      <c r="D117" s="91">
        <v>35</v>
      </c>
      <c r="E117" s="94">
        <v>3750</v>
      </c>
      <c r="F117" s="79" t="s">
        <v>206</v>
      </c>
      <c r="G117" s="61" t="s">
        <v>17</v>
      </c>
      <c r="H117" s="62">
        <f>E117*D117</f>
        <v>131250</v>
      </c>
      <c r="I117" s="63" t="s">
        <v>207</v>
      </c>
      <c r="J117" s="64"/>
      <c r="T117" s="66"/>
      <c r="U117" s="66"/>
    </row>
    <row r="118" spans="1:21" s="76" customFormat="1">
      <c r="A118" s="67"/>
      <c r="B118" s="68"/>
      <c r="C118" s="69" t="s">
        <v>214</v>
      </c>
      <c r="D118" s="69"/>
      <c r="E118" s="70"/>
      <c r="F118" s="71"/>
      <c r="G118" s="72"/>
      <c r="H118" s="87">
        <f>SUM(H119:H120)</f>
        <v>820875</v>
      </c>
      <c r="I118" s="93"/>
      <c r="J118" s="75"/>
      <c r="T118" s="77"/>
      <c r="U118" s="77"/>
    </row>
    <row r="119" spans="1:21" s="65" customFormat="1" ht="30">
      <c r="A119" s="55"/>
      <c r="B119" s="56" t="s">
        <v>215</v>
      </c>
      <c r="C119" s="57" t="s">
        <v>216</v>
      </c>
      <c r="D119" s="78">
        <v>250</v>
      </c>
      <c r="E119" s="94">
        <v>1950</v>
      </c>
      <c r="F119" s="79" t="s">
        <v>206</v>
      </c>
      <c r="G119" s="61" t="s">
        <v>17</v>
      </c>
      <c r="H119" s="62">
        <f>E119*D119</f>
        <v>487500</v>
      </c>
      <c r="I119" s="63" t="s">
        <v>217</v>
      </c>
      <c r="J119" s="64"/>
      <c r="T119" s="66"/>
      <c r="U119" s="66"/>
    </row>
    <row r="120" spans="1:21" s="65" customFormat="1" ht="45">
      <c r="A120" s="55"/>
      <c r="B120" s="56" t="s">
        <v>218</v>
      </c>
      <c r="C120" s="57" t="s">
        <v>219</v>
      </c>
      <c r="D120" s="78">
        <f>(D110+D111+D112)*50%</f>
        <v>158750</v>
      </c>
      <c r="E120" s="94">
        <v>2.1</v>
      </c>
      <c r="F120" s="79" t="s">
        <v>21</v>
      </c>
      <c r="G120" s="61" t="s">
        <v>17</v>
      </c>
      <c r="H120" s="62">
        <f>E120*D120</f>
        <v>333375</v>
      </c>
      <c r="I120" s="63" t="s">
        <v>220</v>
      </c>
      <c r="J120" s="64"/>
      <c r="T120" s="66"/>
      <c r="U120" s="66"/>
    </row>
    <row r="121" spans="1:21" s="76" customFormat="1">
      <c r="A121" s="67"/>
      <c r="B121" s="68"/>
      <c r="C121" s="69" t="s">
        <v>221</v>
      </c>
      <c r="D121" s="69"/>
      <c r="E121" s="70"/>
      <c r="F121" s="71"/>
      <c r="G121" s="72"/>
      <c r="H121" s="97">
        <f>SUM(H122:H127)</f>
        <v>2769450</v>
      </c>
      <c r="I121" s="93" t="s">
        <v>222</v>
      </c>
      <c r="J121" s="75"/>
      <c r="T121" s="77"/>
      <c r="U121" s="77"/>
    </row>
    <row r="122" spans="1:21" s="65" customFormat="1">
      <c r="A122" s="55"/>
      <c r="B122" s="56" t="s">
        <v>223</v>
      </c>
      <c r="C122" s="57" t="s">
        <v>136</v>
      </c>
      <c r="D122" s="78">
        <f>D72</f>
        <v>187500</v>
      </c>
      <c r="E122" s="94">
        <v>8.8000000000000007</v>
      </c>
      <c r="F122" s="79" t="s">
        <v>21</v>
      </c>
      <c r="G122" s="61" t="s">
        <v>17</v>
      </c>
      <c r="H122" s="62">
        <f t="shared" ref="H122:H127" si="3">E122*D122</f>
        <v>1650000.0000000002</v>
      </c>
      <c r="I122" s="63" t="s">
        <v>165</v>
      </c>
      <c r="J122" s="64"/>
      <c r="T122" s="66"/>
      <c r="U122" s="66"/>
    </row>
    <row r="123" spans="1:21" s="65" customFormat="1">
      <c r="A123" s="55"/>
      <c r="B123" s="56" t="s">
        <v>224</v>
      </c>
      <c r="C123" s="57" t="s">
        <v>139</v>
      </c>
      <c r="D123" s="78">
        <f>D73</f>
        <v>35000</v>
      </c>
      <c r="E123" s="94">
        <v>12.5</v>
      </c>
      <c r="F123" s="79" t="s">
        <v>21</v>
      </c>
      <c r="G123" s="61" t="s">
        <v>17</v>
      </c>
      <c r="H123" s="62">
        <f t="shared" si="3"/>
        <v>437500</v>
      </c>
      <c r="I123" s="63" t="s">
        <v>167</v>
      </c>
      <c r="J123" s="64"/>
      <c r="T123" s="66"/>
      <c r="U123" s="66"/>
    </row>
    <row r="124" spans="1:21" s="65" customFormat="1">
      <c r="A124" s="55"/>
      <c r="B124" s="56" t="s">
        <v>225</v>
      </c>
      <c r="C124" s="57" t="s">
        <v>226</v>
      </c>
      <c r="D124" s="78">
        <f>SUM(D51:D57)*J124</f>
        <v>82500</v>
      </c>
      <c r="E124" s="94">
        <v>1.1499999999999999</v>
      </c>
      <c r="F124" s="79" t="s">
        <v>21</v>
      </c>
      <c r="G124" s="61" t="s">
        <v>17</v>
      </c>
      <c r="H124" s="62">
        <f t="shared" si="3"/>
        <v>94874.999999999985</v>
      </c>
      <c r="I124" s="63" t="s">
        <v>227</v>
      </c>
      <c r="J124" s="64">
        <v>0.5</v>
      </c>
      <c r="T124" s="66"/>
      <c r="U124" s="66"/>
    </row>
    <row r="125" spans="1:21" s="65" customFormat="1">
      <c r="A125" s="55"/>
      <c r="B125" s="56" t="s">
        <v>228</v>
      </c>
      <c r="C125" s="57" t="s">
        <v>229</v>
      </c>
      <c r="D125" s="78">
        <f>SUM(D52:D58)*J125</f>
        <v>3100</v>
      </c>
      <c r="E125" s="94">
        <v>27</v>
      </c>
      <c r="F125" s="79" t="s">
        <v>21</v>
      </c>
      <c r="G125" s="61" t="s">
        <v>17</v>
      </c>
      <c r="H125" s="62">
        <f t="shared" si="3"/>
        <v>83700</v>
      </c>
      <c r="I125" s="63" t="s">
        <v>230</v>
      </c>
      <c r="J125" s="64">
        <v>0.02</v>
      </c>
      <c r="T125" s="66"/>
      <c r="U125" s="66"/>
    </row>
    <row r="126" spans="1:21" s="65" customFormat="1">
      <c r="A126" s="55"/>
      <c r="B126" s="56" t="s">
        <v>231</v>
      </c>
      <c r="C126" s="57" t="s">
        <v>232</v>
      </c>
      <c r="D126" s="78">
        <f>D122*J126</f>
        <v>56250</v>
      </c>
      <c r="E126" s="94">
        <v>2.2999999999999998</v>
      </c>
      <c r="F126" s="79" t="s">
        <v>21</v>
      </c>
      <c r="G126" s="61" t="s">
        <v>17</v>
      </c>
      <c r="H126" s="62">
        <f t="shared" si="3"/>
        <v>129374.99999999999</v>
      </c>
      <c r="I126" s="63" t="s">
        <v>233</v>
      </c>
      <c r="J126" s="64">
        <v>0.3</v>
      </c>
      <c r="T126" s="66"/>
      <c r="U126" s="66"/>
    </row>
    <row r="127" spans="1:21" s="65" customFormat="1">
      <c r="A127" s="55"/>
      <c r="B127" s="56" t="s">
        <v>234</v>
      </c>
      <c r="C127" s="57" t="s">
        <v>235</v>
      </c>
      <c r="D127" s="78">
        <v>50</v>
      </c>
      <c r="E127" s="94">
        <v>7480</v>
      </c>
      <c r="F127" s="79" t="s">
        <v>206</v>
      </c>
      <c r="G127" s="61" t="s">
        <v>17</v>
      </c>
      <c r="H127" s="62">
        <f t="shared" si="3"/>
        <v>374000</v>
      </c>
      <c r="I127" s="63" t="s">
        <v>207</v>
      </c>
      <c r="J127" s="64"/>
      <c r="T127" s="66"/>
      <c r="U127" s="66"/>
    </row>
    <row r="128" spans="1:21" s="76" customFormat="1" ht="30">
      <c r="A128" s="67"/>
      <c r="B128" s="68"/>
      <c r="C128" s="69" t="s">
        <v>236</v>
      </c>
      <c r="D128" s="69"/>
      <c r="E128" s="70"/>
      <c r="F128" s="71"/>
      <c r="G128" s="72"/>
      <c r="H128" s="97">
        <f>SUM(H129:H131)</f>
        <v>457000</v>
      </c>
      <c r="I128" s="93" t="s">
        <v>237</v>
      </c>
      <c r="J128" s="75"/>
      <c r="T128" s="77"/>
      <c r="U128" s="77"/>
    </row>
    <row r="129" spans="1:21" s="65" customFormat="1">
      <c r="A129" s="55"/>
      <c r="B129" s="56" t="s">
        <v>238</v>
      </c>
      <c r="C129" s="57" t="s">
        <v>136</v>
      </c>
      <c r="D129" s="78">
        <f>D72*J129</f>
        <v>56250</v>
      </c>
      <c r="E129" s="94">
        <v>3.6</v>
      </c>
      <c r="F129" s="79" t="s">
        <v>21</v>
      </c>
      <c r="G129" s="61" t="s">
        <v>17</v>
      </c>
      <c r="H129" s="62">
        <f>E129*D129</f>
        <v>202500</v>
      </c>
      <c r="I129" s="63" t="s">
        <v>233</v>
      </c>
      <c r="J129" s="64">
        <v>0.3</v>
      </c>
      <c r="T129" s="66"/>
      <c r="U129" s="66"/>
    </row>
    <row r="130" spans="1:21" s="65" customFormat="1">
      <c r="A130" s="55"/>
      <c r="B130" s="56" t="s">
        <v>239</v>
      </c>
      <c r="C130" s="57" t="s">
        <v>139</v>
      </c>
      <c r="D130" s="78">
        <f>D73</f>
        <v>35000</v>
      </c>
      <c r="E130" s="94">
        <v>4.7</v>
      </c>
      <c r="F130" s="79" t="s">
        <v>21</v>
      </c>
      <c r="G130" s="61" t="s">
        <v>17</v>
      </c>
      <c r="H130" s="62">
        <f>E130*D130</f>
        <v>164500</v>
      </c>
      <c r="I130" s="63" t="s">
        <v>167</v>
      </c>
      <c r="J130" s="64"/>
      <c r="T130" s="66"/>
      <c r="U130" s="66"/>
    </row>
    <row r="131" spans="1:21" s="65" customFormat="1">
      <c r="A131" s="55"/>
      <c r="B131" s="56" t="s">
        <v>240</v>
      </c>
      <c r="C131" s="57" t="s">
        <v>143</v>
      </c>
      <c r="D131" s="78">
        <f>D74</f>
        <v>25000</v>
      </c>
      <c r="E131" s="94">
        <v>3.6</v>
      </c>
      <c r="F131" s="79" t="s">
        <v>21</v>
      </c>
      <c r="G131" s="61" t="s">
        <v>17</v>
      </c>
      <c r="H131" s="62">
        <f>E131*D131</f>
        <v>90000</v>
      </c>
      <c r="I131" s="63" t="s">
        <v>241</v>
      </c>
      <c r="J131" s="64"/>
      <c r="T131" s="66"/>
      <c r="U131" s="66"/>
    </row>
    <row r="132" spans="1:21" s="76" customFormat="1" ht="30">
      <c r="A132" s="67"/>
      <c r="B132" s="68"/>
      <c r="C132" s="69" t="s">
        <v>242</v>
      </c>
      <c r="D132" s="69"/>
      <c r="E132" s="70"/>
      <c r="F132" s="71"/>
      <c r="G132" s="72"/>
      <c r="H132" s="97">
        <f>SUM(H133:H135)</f>
        <v>195000</v>
      </c>
      <c r="I132" s="93" t="s">
        <v>237</v>
      </c>
      <c r="J132" s="75"/>
      <c r="T132" s="77"/>
      <c r="U132" s="77"/>
    </row>
    <row r="133" spans="1:21" s="65" customFormat="1">
      <c r="A133" s="55"/>
      <c r="B133" s="56" t="s">
        <v>243</v>
      </c>
      <c r="C133" s="57" t="s">
        <v>136</v>
      </c>
      <c r="D133" s="78">
        <f>D72*J133</f>
        <v>37500</v>
      </c>
      <c r="E133" s="94">
        <v>2</v>
      </c>
      <c r="F133" s="79" t="s">
        <v>21</v>
      </c>
      <c r="G133" s="61" t="s">
        <v>17</v>
      </c>
      <c r="H133" s="62">
        <f>E133*D133</f>
        <v>75000</v>
      </c>
      <c r="I133" s="63" t="s">
        <v>244</v>
      </c>
      <c r="J133" s="64">
        <v>0.2</v>
      </c>
      <c r="T133" s="66"/>
      <c r="U133" s="66"/>
    </row>
    <row r="134" spans="1:21" s="65" customFormat="1">
      <c r="A134" s="55"/>
      <c r="B134" s="56" t="s">
        <v>245</v>
      </c>
      <c r="C134" s="57" t="s">
        <v>139</v>
      </c>
      <c r="D134" s="78">
        <f>D130</f>
        <v>35000</v>
      </c>
      <c r="E134" s="94">
        <v>2</v>
      </c>
      <c r="F134" s="79" t="s">
        <v>21</v>
      </c>
      <c r="G134" s="61" t="s">
        <v>17</v>
      </c>
      <c r="H134" s="62">
        <f>E134*D134</f>
        <v>70000</v>
      </c>
      <c r="I134" s="63" t="s">
        <v>167</v>
      </c>
      <c r="J134" s="64"/>
      <c r="T134" s="66"/>
      <c r="U134" s="66"/>
    </row>
    <row r="135" spans="1:21" s="65" customFormat="1">
      <c r="A135" s="55"/>
      <c r="B135" s="56" t="s">
        <v>246</v>
      </c>
      <c r="C135" s="57" t="s">
        <v>143</v>
      </c>
      <c r="D135" s="78">
        <f>D131</f>
        <v>25000</v>
      </c>
      <c r="E135" s="94">
        <v>2</v>
      </c>
      <c r="F135" s="79" t="s">
        <v>21</v>
      </c>
      <c r="G135" s="61" t="s">
        <v>17</v>
      </c>
      <c r="H135" s="62">
        <f>E135*D135</f>
        <v>50000</v>
      </c>
      <c r="I135" s="63" t="s">
        <v>241</v>
      </c>
      <c r="J135" s="64"/>
      <c r="T135" s="66"/>
      <c r="U135" s="66"/>
    </row>
    <row r="136" spans="1:21" s="76" customFormat="1" ht="30">
      <c r="A136" s="67"/>
      <c r="B136" s="68"/>
      <c r="C136" s="69" t="s">
        <v>247</v>
      </c>
      <c r="D136" s="69"/>
      <c r="E136" s="70"/>
      <c r="F136" s="71"/>
      <c r="G136" s="72"/>
      <c r="H136" s="97">
        <f>SUM(H137:H139)</f>
        <v>175000</v>
      </c>
      <c r="I136" s="93" t="s">
        <v>237</v>
      </c>
      <c r="J136" s="75"/>
      <c r="T136" s="77"/>
      <c r="U136" s="77"/>
    </row>
    <row r="137" spans="1:21" s="65" customFormat="1">
      <c r="A137" s="55"/>
      <c r="B137" s="56" t="s">
        <v>248</v>
      </c>
      <c r="C137" s="57" t="s">
        <v>136</v>
      </c>
      <c r="D137" s="78">
        <f>D75*J137</f>
        <v>35000</v>
      </c>
      <c r="E137" s="94">
        <v>2</v>
      </c>
      <c r="F137" s="79" t="s">
        <v>21</v>
      </c>
      <c r="G137" s="61" t="s">
        <v>17</v>
      </c>
      <c r="H137" s="62">
        <f>E137*D137</f>
        <v>70000</v>
      </c>
      <c r="I137" s="63" t="s">
        <v>249</v>
      </c>
      <c r="J137" s="64">
        <v>0.5</v>
      </c>
      <c r="T137" s="66"/>
      <c r="U137" s="66"/>
    </row>
    <row r="138" spans="1:21" s="65" customFormat="1">
      <c r="A138" s="55"/>
      <c r="B138" s="56" t="s">
        <v>250</v>
      </c>
      <c r="C138" s="57" t="s">
        <v>139</v>
      </c>
      <c r="D138" s="78">
        <f>D73*J137</f>
        <v>17500</v>
      </c>
      <c r="E138" s="94">
        <v>2</v>
      </c>
      <c r="F138" s="79" t="s">
        <v>21</v>
      </c>
      <c r="G138" s="61" t="s">
        <v>17</v>
      </c>
      <c r="H138" s="62">
        <f>E138*D138</f>
        <v>35000</v>
      </c>
      <c r="I138" s="63" t="s">
        <v>251</v>
      </c>
      <c r="J138" s="64"/>
      <c r="T138" s="66"/>
      <c r="U138" s="66"/>
    </row>
    <row r="139" spans="1:21" s="65" customFormat="1" ht="30">
      <c r="A139" s="55"/>
      <c r="B139" s="56" t="s">
        <v>252</v>
      </c>
      <c r="C139" s="57" t="s">
        <v>143</v>
      </c>
      <c r="D139" s="78">
        <f>D75*J137</f>
        <v>35000</v>
      </c>
      <c r="E139" s="94">
        <v>2</v>
      </c>
      <c r="F139" s="79" t="s">
        <v>21</v>
      </c>
      <c r="G139" s="61" t="s">
        <v>17</v>
      </c>
      <c r="H139" s="62">
        <f>E139*D139</f>
        <v>70000</v>
      </c>
      <c r="I139" s="63" t="s">
        <v>253</v>
      </c>
      <c r="J139" s="64"/>
      <c r="T139" s="66"/>
      <c r="U139" s="66"/>
    </row>
    <row r="140" spans="1:21" s="76" customFormat="1">
      <c r="A140" s="67"/>
      <c r="B140" s="68"/>
      <c r="C140" s="69" t="s">
        <v>254</v>
      </c>
      <c r="D140" s="69"/>
      <c r="E140" s="70"/>
      <c r="F140" s="71"/>
      <c r="G140" s="72"/>
      <c r="H140" s="97">
        <f>SUM(H141:H143)</f>
        <v>832250</v>
      </c>
      <c r="I140" s="93" t="s">
        <v>134</v>
      </c>
      <c r="J140" s="75"/>
      <c r="T140" s="77"/>
      <c r="U140" s="77"/>
    </row>
    <row r="141" spans="1:21" s="65" customFormat="1">
      <c r="A141" s="55"/>
      <c r="B141" s="56" t="s">
        <v>255</v>
      </c>
      <c r="C141" s="57" t="s">
        <v>136</v>
      </c>
      <c r="D141" s="78">
        <f>D72*J141</f>
        <v>93750</v>
      </c>
      <c r="E141" s="94">
        <v>5.2</v>
      </c>
      <c r="F141" s="79" t="s">
        <v>21</v>
      </c>
      <c r="G141" s="61" t="s">
        <v>17</v>
      </c>
      <c r="H141" s="62">
        <f>E141*D141</f>
        <v>487500</v>
      </c>
      <c r="I141" s="63" t="s">
        <v>249</v>
      </c>
      <c r="J141" s="64">
        <v>0.5</v>
      </c>
      <c r="T141" s="66"/>
      <c r="U141" s="66"/>
    </row>
    <row r="142" spans="1:21" s="65" customFormat="1">
      <c r="A142" s="55"/>
      <c r="B142" s="56" t="s">
        <v>256</v>
      </c>
      <c r="C142" s="57" t="s">
        <v>139</v>
      </c>
      <c r="D142" s="78">
        <f>D138</f>
        <v>17500</v>
      </c>
      <c r="E142" s="94">
        <v>7.3</v>
      </c>
      <c r="F142" s="79" t="s">
        <v>21</v>
      </c>
      <c r="G142" s="61" t="s">
        <v>17</v>
      </c>
      <c r="H142" s="62">
        <f>E142*D142</f>
        <v>127750</v>
      </c>
      <c r="I142" s="63" t="s">
        <v>251</v>
      </c>
      <c r="J142" s="64"/>
      <c r="T142" s="66"/>
      <c r="U142" s="66"/>
    </row>
    <row r="143" spans="1:21" s="65" customFormat="1" ht="30">
      <c r="A143" s="55"/>
      <c r="B143" s="56" t="s">
        <v>257</v>
      </c>
      <c r="C143" s="57" t="s">
        <v>143</v>
      </c>
      <c r="D143" s="78">
        <f>D139</f>
        <v>35000</v>
      </c>
      <c r="E143" s="94">
        <v>6.2</v>
      </c>
      <c r="F143" s="79" t="s">
        <v>21</v>
      </c>
      <c r="G143" s="61" t="s">
        <v>17</v>
      </c>
      <c r="H143" s="62">
        <f>E143*D143</f>
        <v>217000</v>
      </c>
      <c r="I143" s="63" t="s">
        <v>253</v>
      </c>
      <c r="J143" s="64"/>
      <c r="T143" s="66"/>
      <c r="U143" s="66"/>
    </row>
    <row r="144" spans="1:21" s="76" customFormat="1">
      <c r="A144" s="67"/>
      <c r="B144" s="68"/>
      <c r="C144" s="69" t="s">
        <v>258</v>
      </c>
      <c r="D144" s="69"/>
      <c r="E144" s="70"/>
      <c r="F144" s="71"/>
      <c r="G144" s="72"/>
      <c r="H144" s="97">
        <f>SUM(H145:H146)</f>
        <v>21000</v>
      </c>
      <c r="I144" s="93" t="s">
        <v>134</v>
      </c>
      <c r="J144" s="75"/>
      <c r="T144" s="77"/>
      <c r="U144" s="77"/>
    </row>
    <row r="145" spans="1:21" s="65" customFormat="1">
      <c r="A145" s="55"/>
      <c r="B145" s="56" t="s">
        <v>259</v>
      </c>
      <c r="C145" s="57" t="s">
        <v>139</v>
      </c>
      <c r="D145" s="78">
        <f>D73*J145</f>
        <v>3500</v>
      </c>
      <c r="E145" s="94">
        <v>2</v>
      </c>
      <c r="F145" s="79" t="s">
        <v>21</v>
      </c>
      <c r="G145" s="61" t="s">
        <v>17</v>
      </c>
      <c r="H145" s="62">
        <f>E145*D145</f>
        <v>7000</v>
      </c>
      <c r="I145" s="98" t="s">
        <v>260</v>
      </c>
      <c r="J145" s="64">
        <v>0.1</v>
      </c>
      <c r="T145" s="66"/>
      <c r="U145" s="66"/>
    </row>
    <row r="146" spans="1:21" s="65" customFormat="1">
      <c r="A146" s="55"/>
      <c r="B146" s="56" t="s">
        <v>261</v>
      </c>
      <c r="C146" s="57" t="s">
        <v>143</v>
      </c>
      <c r="D146" s="78">
        <f>D75*J145</f>
        <v>7000</v>
      </c>
      <c r="E146" s="94">
        <v>2</v>
      </c>
      <c r="F146" s="79" t="s">
        <v>21</v>
      </c>
      <c r="G146" s="61" t="s">
        <v>17</v>
      </c>
      <c r="H146" s="62">
        <f>E146*D146</f>
        <v>14000</v>
      </c>
      <c r="I146" s="98" t="s">
        <v>260</v>
      </c>
      <c r="J146" s="64"/>
      <c r="T146" s="66"/>
      <c r="U146" s="66"/>
    </row>
    <row r="147" spans="1:21" s="76" customFormat="1">
      <c r="A147" s="67"/>
      <c r="B147" s="68"/>
      <c r="C147" s="69" t="s">
        <v>262</v>
      </c>
      <c r="D147" s="69"/>
      <c r="E147" s="70"/>
      <c r="F147" s="71"/>
      <c r="G147" s="72"/>
      <c r="H147" s="97">
        <f>SUM(H148)</f>
        <v>748000</v>
      </c>
      <c r="I147" s="93" t="s">
        <v>263</v>
      </c>
      <c r="J147" s="75"/>
      <c r="T147" s="77"/>
      <c r="U147" s="77"/>
    </row>
    <row r="148" spans="1:21" s="65" customFormat="1">
      <c r="A148" s="55"/>
      <c r="B148" s="56" t="s">
        <v>264</v>
      </c>
      <c r="C148" s="57" t="s">
        <v>143</v>
      </c>
      <c r="D148" s="78">
        <f>D74*J148</f>
        <v>10000</v>
      </c>
      <c r="E148" s="94">
        <v>74.8</v>
      </c>
      <c r="F148" s="79" t="s">
        <v>21</v>
      </c>
      <c r="G148" s="61" t="s">
        <v>17</v>
      </c>
      <c r="H148" s="62">
        <f>E148*D148</f>
        <v>748000</v>
      </c>
      <c r="I148" s="63" t="s">
        <v>265</v>
      </c>
      <c r="J148" s="64">
        <v>0.4</v>
      </c>
      <c r="T148" s="66"/>
      <c r="U148" s="66"/>
    </row>
    <row r="149" spans="1:21" s="76" customFormat="1">
      <c r="A149" s="67"/>
      <c r="B149" s="68"/>
      <c r="C149" s="69" t="s">
        <v>266</v>
      </c>
      <c r="D149" s="69"/>
      <c r="E149" s="70"/>
      <c r="F149" s="71"/>
      <c r="G149" s="72"/>
      <c r="H149" s="97">
        <f>SUM(H150:H152)</f>
        <v>51975</v>
      </c>
      <c r="I149" s="93" t="s">
        <v>267</v>
      </c>
      <c r="J149" s="75"/>
      <c r="T149" s="77"/>
      <c r="U149" s="77"/>
    </row>
    <row r="150" spans="1:21" s="65" customFormat="1">
      <c r="A150" s="55"/>
      <c r="B150" s="56" t="s">
        <v>268</v>
      </c>
      <c r="C150" s="57" t="s">
        <v>136</v>
      </c>
      <c r="D150" s="78">
        <f>D72*J150</f>
        <v>18750</v>
      </c>
      <c r="E150" s="94">
        <v>2.1</v>
      </c>
      <c r="F150" s="79" t="s">
        <v>21</v>
      </c>
      <c r="G150" s="61" t="s">
        <v>17</v>
      </c>
      <c r="H150" s="62">
        <f>E150*D150</f>
        <v>39375</v>
      </c>
      <c r="I150" s="63" t="s">
        <v>260</v>
      </c>
      <c r="J150" s="64">
        <v>0.1</v>
      </c>
      <c r="T150" s="66"/>
      <c r="U150" s="66"/>
    </row>
    <row r="151" spans="1:21" s="65" customFormat="1">
      <c r="A151" s="55"/>
      <c r="B151" s="56" t="s">
        <v>269</v>
      </c>
      <c r="C151" s="57" t="s">
        <v>139</v>
      </c>
      <c r="D151" s="78">
        <f>D73*J151</f>
        <v>3500</v>
      </c>
      <c r="E151" s="94">
        <v>2.1</v>
      </c>
      <c r="F151" s="79" t="s">
        <v>21</v>
      </c>
      <c r="G151" s="61" t="s">
        <v>17</v>
      </c>
      <c r="H151" s="62">
        <f>E151*D151</f>
        <v>7350</v>
      </c>
      <c r="I151" s="63" t="s">
        <v>260</v>
      </c>
      <c r="J151" s="64">
        <v>0.1</v>
      </c>
      <c r="T151" s="66"/>
      <c r="U151" s="66"/>
    </row>
    <row r="152" spans="1:21" s="65" customFormat="1">
      <c r="A152" s="55"/>
      <c r="B152" s="56" t="s">
        <v>270</v>
      </c>
      <c r="C152" s="57" t="s">
        <v>143</v>
      </c>
      <c r="D152" s="78">
        <f>D74*J152</f>
        <v>2500</v>
      </c>
      <c r="E152" s="94">
        <v>2.1</v>
      </c>
      <c r="F152" s="79" t="s">
        <v>21</v>
      </c>
      <c r="G152" s="61" t="s">
        <v>17</v>
      </c>
      <c r="H152" s="62">
        <f>E152*D152</f>
        <v>5250</v>
      </c>
      <c r="I152" s="63" t="s">
        <v>260</v>
      </c>
      <c r="J152" s="64">
        <v>0.1</v>
      </c>
      <c r="T152" s="66"/>
      <c r="U152" s="66"/>
    </row>
    <row r="153" spans="1:21" s="76" customFormat="1" ht="30">
      <c r="A153" s="67"/>
      <c r="B153" s="68"/>
      <c r="C153" s="69" t="s">
        <v>271</v>
      </c>
      <c r="D153" s="69"/>
      <c r="E153" s="92"/>
      <c r="F153" s="81"/>
      <c r="G153" s="72"/>
      <c r="H153" s="97">
        <f>SUM(H154:H155)</f>
        <v>507000</v>
      </c>
      <c r="I153" s="93" t="s">
        <v>272</v>
      </c>
      <c r="J153" s="75"/>
      <c r="T153" s="77"/>
      <c r="U153" s="77"/>
    </row>
    <row r="154" spans="1:21" s="65" customFormat="1">
      <c r="A154" s="55"/>
      <c r="B154" s="56" t="s">
        <v>273</v>
      </c>
      <c r="C154" s="57" t="s">
        <v>274</v>
      </c>
      <c r="D154" s="78">
        <v>100</v>
      </c>
      <c r="E154" s="94">
        <v>1950</v>
      </c>
      <c r="F154" s="79" t="s">
        <v>206</v>
      </c>
      <c r="G154" s="61" t="s">
        <v>17</v>
      </c>
      <c r="H154" s="62">
        <f>E154*D154</f>
        <v>195000</v>
      </c>
      <c r="I154" s="63" t="s">
        <v>207</v>
      </c>
      <c r="J154" s="64"/>
      <c r="T154" s="66"/>
      <c r="U154" s="66"/>
    </row>
    <row r="155" spans="1:21" s="65" customFormat="1">
      <c r="A155" s="55"/>
      <c r="B155" s="56" t="s">
        <v>275</v>
      </c>
      <c r="C155" s="57" t="s">
        <v>276</v>
      </c>
      <c r="D155" s="78">
        <v>120</v>
      </c>
      <c r="E155" s="94">
        <v>2600</v>
      </c>
      <c r="F155" s="79" t="s">
        <v>206</v>
      </c>
      <c r="G155" s="61" t="s">
        <v>17</v>
      </c>
      <c r="H155" s="62">
        <f>E155*D155</f>
        <v>312000</v>
      </c>
      <c r="I155" s="63" t="s">
        <v>207</v>
      </c>
      <c r="J155" s="64"/>
      <c r="T155" s="66"/>
      <c r="U155" s="66"/>
    </row>
    <row r="156" spans="1:21" s="53" customFormat="1">
      <c r="A156" s="44">
        <v>3</v>
      </c>
      <c r="B156" s="45"/>
      <c r="C156" s="89" t="s">
        <v>277</v>
      </c>
      <c r="D156" s="89"/>
      <c r="E156" s="47"/>
      <c r="F156" s="48"/>
      <c r="G156" s="49"/>
      <c r="H156" s="50">
        <f>H157+H158</f>
        <v>24506993.633218713</v>
      </c>
      <c r="I156" s="90"/>
      <c r="J156" s="52"/>
      <c r="T156" s="54"/>
      <c r="U156" s="54"/>
    </row>
    <row r="157" spans="1:21" s="65" customFormat="1">
      <c r="A157" s="55"/>
      <c r="B157" s="56"/>
      <c r="C157" s="57" t="s">
        <v>15</v>
      </c>
      <c r="D157" s="78"/>
      <c r="E157" s="59">
        <v>1950</v>
      </c>
      <c r="F157" s="60" t="s">
        <v>16</v>
      </c>
      <c r="G157" s="61" t="s">
        <v>17</v>
      </c>
      <c r="H157" s="62">
        <f>E157*D157</f>
        <v>0</v>
      </c>
      <c r="I157" s="63"/>
      <c r="J157" s="64"/>
      <c r="T157" s="66" t="e">
        <f>#VALUE!</f>
        <v>#VALUE!</v>
      </c>
      <c r="U157" s="66">
        <v>0</v>
      </c>
    </row>
    <row r="158" spans="1:21" s="76" customFormat="1">
      <c r="A158" s="67"/>
      <c r="B158" s="83" t="s">
        <v>278</v>
      </c>
      <c r="C158" s="69" t="s">
        <v>279</v>
      </c>
      <c r="D158" s="69"/>
      <c r="E158" s="92"/>
      <c r="F158" s="81"/>
      <c r="G158" s="72"/>
      <c r="H158" s="97">
        <f>H159+H161+H164++H166+H168+H171+H173+H175+H177+H181+H182+H183</f>
        <v>24506993.633218713</v>
      </c>
      <c r="I158" s="88" t="s">
        <v>126</v>
      </c>
      <c r="J158" s="75"/>
      <c r="T158" s="77"/>
      <c r="U158" s="77"/>
    </row>
    <row r="159" spans="1:21" s="107" customFormat="1">
      <c r="A159" s="99"/>
      <c r="B159" s="100" t="s">
        <v>280</v>
      </c>
      <c r="C159" s="101" t="s">
        <v>281</v>
      </c>
      <c r="D159" s="101"/>
      <c r="E159" s="102"/>
      <c r="F159" s="103"/>
      <c r="G159" s="104"/>
      <c r="H159" s="104">
        <f>SUM(H160)</f>
        <v>2800000</v>
      </c>
      <c r="I159" s="105" t="s">
        <v>282</v>
      </c>
      <c r="J159" s="106"/>
      <c r="T159" s="108"/>
      <c r="U159" s="108"/>
    </row>
    <row r="160" spans="1:21" s="65" customFormat="1">
      <c r="A160" s="55"/>
      <c r="B160" s="56" t="s">
        <v>283</v>
      </c>
      <c r="C160" s="57" t="s">
        <v>284</v>
      </c>
      <c r="D160" s="58">
        <f>J160*K160</f>
        <v>2800000</v>
      </c>
      <c r="E160" s="94">
        <v>1</v>
      </c>
      <c r="F160" s="79" t="s">
        <v>21</v>
      </c>
      <c r="G160" s="61" t="s">
        <v>17</v>
      </c>
      <c r="H160" s="62">
        <f>E160*D160</f>
        <v>2800000</v>
      </c>
      <c r="I160" s="63" t="s">
        <v>285</v>
      </c>
      <c r="J160" s="64">
        <v>8</v>
      </c>
      <c r="K160" s="109">
        <v>350000</v>
      </c>
      <c r="L160" s="110">
        <f>K160/1000</f>
        <v>350</v>
      </c>
      <c r="T160" s="66"/>
      <c r="U160" s="66"/>
    </row>
    <row r="161" spans="1:21" s="107" customFormat="1" ht="30">
      <c r="A161" s="99"/>
      <c r="B161" s="100" t="s">
        <v>286</v>
      </c>
      <c r="C161" s="101" t="s">
        <v>287</v>
      </c>
      <c r="D161" s="111"/>
      <c r="E161" s="102"/>
      <c r="F161" s="103"/>
      <c r="G161" s="104"/>
      <c r="H161" s="104">
        <f>SUM(H162)</f>
        <v>4480000</v>
      </c>
      <c r="I161" s="105" t="s">
        <v>288</v>
      </c>
      <c r="J161" s="106"/>
      <c r="T161" s="108"/>
      <c r="U161" s="108"/>
    </row>
    <row r="162" spans="1:21" s="65" customFormat="1">
      <c r="A162" s="55"/>
      <c r="B162" s="56" t="s">
        <v>289</v>
      </c>
      <c r="C162" s="57" t="s">
        <v>290</v>
      </c>
      <c r="D162" s="58">
        <f>J162*K162</f>
        <v>2800000</v>
      </c>
      <c r="E162" s="94">
        <v>1.6</v>
      </c>
      <c r="F162" s="79" t="s">
        <v>21</v>
      </c>
      <c r="G162" s="61" t="s">
        <v>17</v>
      </c>
      <c r="H162" s="62">
        <f>E162*D162</f>
        <v>4480000</v>
      </c>
      <c r="I162" s="63" t="s">
        <v>285</v>
      </c>
      <c r="J162" s="64">
        <v>8</v>
      </c>
      <c r="K162" s="109">
        <f>K160</f>
        <v>350000</v>
      </c>
      <c r="L162" s="110">
        <f>K162/1000</f>
        <v>350</v>
      </c>
      <c r="T162" s="66"/>
      <c r="U162" s="66"/>
    </row>
    <row r="163" spans="1:21" s="107" customFormat="1">
      <c r="A163" s="99"/>
      <c r="B163" s="100" t="s">
        <v>291</v>
      </c>
      <c r="C163" s="101" t="s">
        <v>292</v>
      </c>
      <c r="D163" s="111"/>
      <c r="E163" s="102"/>
      <c r="F163" s="103"/>
      <c r="G163" s="104"/>
      <c r="H163" s="104"/>
      <c r="I163" s="105"/>
      <c r="J163" s="106"/>
      <c r="T163" s="108"/>
      <c r="U163" s="108"/>
    </row>
    <row r="164" spans="1:21" s="107" customFormat="1" ht="30">
      <c r="A164" s="99"/>
      <c r="B164" s="100" t="s">
        <v>293</v>
      </c>
      <c r="C164" s="101" t="s">
        <v>294</v>
      </c>
      <c r="D164" s="111"/>
      <c r="E164" s="102"/>
      <c r="F164" s="103"/>
      <c r="G164" s="104"/>
      <c r="H164" s="104">
        <f>SUM(H165)</f>
        <v>1959999.9999999998</v>
      </c>
      <c r="I164" s="105"/>
      <c r="J164" s="106"/>
      <c r="T164" s="108"/>
      <c r="U164" s="108"/>
    </row>
    <row r="165" spans="1:21" s="65" customFormat="1">
      <c r="A165" s="55"/>
      <c r="B165" s="56" t="s">
        <v>295</v>
      </c>
      <c r="C165" s="57" t="s">
        <v>296</v>
      </c>
      <c r="D165" s="58">
        <f>J165*K165</f>
        <v>2800000</v>
      </c>
      <c r="E165" s="94">
        <v>0.7</v>
      </c>
      <c r="F165" s="79" t="s">
        <v>21</v>
      </c>
      <c r="G165" s="61" t="s">
        <v>17</v>
      </c>
      <c r="H165" s="62">
        <f>E165*D165</f>
        <v>1959999.9999999998</v>
      </c>
      <c r="I165" s="63" t="s">
        <v>285</v>
      </c>
      <c r="J165" s="64">
        <v>8</v>
      </c>
      <c r="K165" s="109">
        <f>K162</f>
        <v>350000</v>
      </c>
      <c r="L165" s="110">
        <f>K165/1000</f>
        <v>350</v>
      </c>
      <c r="T165" s="66"/>
      <c r="U165" s="66"/>
    </row>
    <row r="166" spans="1:21" s="107" customFormat="1">
      <c r="A166" s="99"/>
      <c r="B166" s="100" t="s">
        <v>297</v>
      </c>
      <c r="C166" s="112" t="s">
        <v>298</v>
      </c>
      <c r="D166" s="113"/>
      <c r="E166" s="102"/>
      <c r="F166" s="103"/>
      <c r="G166" s="104"/>
      <c r="H166" s="104">
        <f>SUM(H167)</f>
        <v>1320000</v>
      </c>
      <c r="I166" s="105"/>
      <c r="J166" s="106"/>
      <c r="T166" s="108"/>
      <c r="U166" s="108"/>
    </row>
    <row r="167" spans="1:21" s="65" customFormat="1">
      <c r="A167" s="55"/>
      <c r="B167" s="56" t="s">
        <v>299</v>
      </c>
      <c r="C167" s="57" t="s">
        <v>296</v>
      </c>
      <c r="D167" s="58">
        <f>J167*K167</f>
        <v>1200000</v>
      </c>
      <c r="E167" s="94">
        <v>1.1000000000000001</v>
      </c>
      <c r="F167" s="79" t="s">
        <v>21</v>
      </c>
      <c r="G167" s="61" t="s">
        <v>17</v>
      </c>
      <c r="H167" s="62">
        <f>E167*D167</f>
        <v>1320000</v>
      </c>
      <c r="I167" s="63" t="s">
        <v>300</v>
      </c>
      <c r="J167" s="64">
        <v>8</v>
      </c>
      <c r="K167" s="109">
        <v>150000</v>
      </c>
      <c r="L167" s="110">
        <f>K167/1000</f>
        <v>150</v>
      </c>
      <c r="T167" s="66"/>
      <c r="U167" s="66"/>
    </row>
    <row r="168" spans="1:21" s="107" customFormat="1">
      <c r="A168" s="99"/>
      <c r="B168" s="100" t="s">
        <v>301</v>
      </c>
      <c r="C168" s="101" t="s">
        <v>302</v>
      </c>
      <c r="D168" s="111"/>
      <c r="E168" s="102"/>
      <c r="F168" s="103"/>
      <c r="G168" s="104"/>
      <c r="H168" s="104">
        <f>SUM(H169)</f>
        <v>1200000</v>
      </c>
      <c r="I168" s="105"/>
      <c r="J168" s="106"/>
      <c r="T168" s="108"/>
      <c r="U168" s="108"/>
    </row>
    <row r="169" spans="1:21" s="65" customFormat="1" ht="30">
      <c r="A169" s="55"/>
      <c r="B169" s="56" t="s">
        <v>303</v>
      </c>
      <c r="C169" s="57" t="s">
        <v>304</v>
      </c>
      <c r="D169" s="78">
        <f>K169</f>
        <v>1500000</v>
      </c>
      <c r="E169" s="94">
        <v>0.8</v>
      </c>
      <c r="F169" s="79" t="s">
        <v>21</v>
      </c>
      <c r="G169" s="61" t="s">
        <v>17</v>
      </c>
      <c r="H169" s="62">
        <f>E169*D169</f>
        <v>1200000</v>
      </c>
      <c r="I169" s="63" t="s">
        <v>305</v>
      </c>
      <c r="J169" s="64">
        <v>150</v>
      </c>
      <c r="K169" s="109">
        <f>J169*10000</f>
        <v>1500000</v>
      </c>
      <c r="L169" s="110"/>
      <c r="T169" s="66"/>
      <c r="U169" s="66"/>
    </row>
    <row r="170" spans="1:21" s="107" customFormat="1">
      <c r="A170" s="99"/>
      <c r="B170" s="100" t="s">
        <v>306</v>
      </c>
      <c r="C170" s="101" t="s">
        <v>307</v>
      </c>
      <c r="D170" s="111"/>
      <c r="E170" s="102"/>
      <c r="F170" s="103"/>
      <c r="G170" s="104"/>
      <c r="H170" s="104"/>
      <c r="I170" s="105"/>
      <c r="J170" s="106"/>
      <c r="K170" s="114">
        <f>K169/1000</f>
        <v>1500</v>
      </c>
      <c r="T170" s="108"/>
      <c r="U170" s="108"/>
    </row>
    <row r="171" spans="1:21" s="107" customFormat="1">
      <c r="A171" s="99"/>
      <c r="B171" s="100" t="s">
        <v>308</v>
      </c>
      <c r="C171" s="112" t="s">
        <v>309</v>
      </c>
      <c r="D171" s="115"/>
      <c r="E171" s="102"/>
      <c r="F171" s="103"/>
      <c r="G171" s="104"/>
      <c r="H171" s="104">
        <f>SUM(H172)</f>
        <v>1050000</v>
      </c>
      <c r="I171" s="105"/>
      <c r="J171" s="106"/>
      <c r="T171" s="108"/>
      <c r="U171" s="108"/>
    </row>
    <row r="172" spans="1:21" s="65" customFormat="1" ht="30">
      <c r="A172" s="55"/>
      <c r="B172" s="56" t="s">
        <v>310</v>
      </c>
      <c r="C172" s="57" t="s">
        <v>304</v>
      </c>
      <c r="D172" s="78">
        <f>K172</f>
        <v>1500000</v>
      </c>
      <c r="E172" s="94">
        <v>0.7</v>
      </c>
      <c r="F172" s="79" t="s">
        <v>21</v>
      </c>
      <c r="G172" s="61" t="s">
        <v>17</v>
      </c>
      <c r="H172" s="62">
        <f>E172*D172</f>
        <v>1050000</v>
      </c>
      <c r="I172" s="63" t="s">
        <v>305</v>
      </c>
      <c r="J172" s="64">
        <v>150</v>
      </c>
      <c r="K172" s="109">
        <f>J172*10000</f>
        <v>1500000</v>
      </c>
      <c r="T172" s="66"/>
      <c r="U172" s="66"/>
    </row>
    <row r="173" spans="1:21" s="107" customFormat="1">
      <c r="A173" s="99"/>
      <c r="B173" s="100" t="s">
        <v>311</v>
      </c>
      <c r="C173" s="112" t="s">
        <v>312</v>
      </c>
      <c r="D173" s="113"/>
      <c r="E173" s="102"/>
      <c r="F173" s="103"/>
      <c r="G173" s="104"/>
      <c r="H173" s="104">
        <f>SUM(H174)</f>
        <v>350000</v>
      </c>
      <c r="I173" s="105"/>
      <c r="J173" s="106"/>
      <c r="K173" s="114">
        <f>K172/1000</f>
        <v>1500</v>
      </c>
      <c r="T173" s="108"/>
      <c r="U173" s="108"/>
    </row>
    <row r="174" spans="1:21" s="65" customFormat="1">
      <c r="A174" s="55"/>
      <c r="B174" s="56" t="s">
        <v>313</v>
      </c>
      <c r="C174" s="57" t="s">
        <v>304</v>
      </c>
      <c r="D174" s="78">
        <v>250000</v>
      </c>
      <c r="E174" s="94">
        <v>1.4</v>
      </c>
      <c r="F174" s="79" t="s">
        <v>21</v>
      </c>
      <c r="G174" s="61" t="s">
        <v>17</v>
      </c>
      <c r="H174" s="62">
        <f>E174*D174</f>
        <v>350000</v>
      </c>
      <c r="I174" s="63" t="s">
        <v>207</v>
      </c>
      <c r="J174" s="64"/>
      <c r="T174" s="66"/>
      <c r="U174" s="66"/>
    </row>
    <row r="175" spans="1:21" s="107" customFormat="1" ht="30">
      <c r="A175" s="99"/>
      <c r="B175" s="100" t="s">
        <v>314</v>
      </c>
      <c r="C175" s="116" t="s">
        <v>315</v>
      </c>
      <c r="D175" s="117"/>
      <c r="E175" s="102"/>
      <c r="F175" s="103"/>
      <c r="G175" s="104"/>
      <c r="H175" s="104">
        <f>SUM(H176)</f>
        <v>840000</v>
      </c>
      <c r="I175" s="105" t="s">
        <v>316</v>
      </c>
      <c r="J175" s="106"/>
      <c r="T175" s="108"/>
      <c r="U175" s="108"/>
    </row>
    <row r="176" spans="1:21" s="65" customFormat="1">
      <c r="A176" s="55"/>
      <c r="B176" s="56" t="s">
        <v>317</v>
      </c>
      <c r="C176" s="57" t="s">
        <v>318</v>
      </c>
      <c r="D176" s="78">
        <f>K176*J176</f>
        <v>1050000</v>
      </c>
      <c r="E176" s="94">
        <v>0.8</v>
      </c>
      <c r="F176" s="79" t="s">
        <v>21</v>
      </c>
      <c r="G176" s="61" t="s">
        <v>17</v>
      </c>
      <c r="H176" s="62">
        <f>E176*D176</f>
        <v>840000</v>
      </c>
      <c r="I176" s="63" t="s">
        <v>319</v>
      </c>
      <c r="J176" s="64">
        <v>7</v>
      </c>
      <c r="K176" s="109">
        <v>150000</v>
      </c>
      <c r="L176" s="110">
        <f>K176/1000</f>
        <v>150</v>
      </c>
      <c r="T176" s="66"/>
      <c r="U176" s="66"/>
    </row>
    <row r="177" spans="1:21" s="107" customFormat="1">
      <c r="A177" s="99"/>
      <c r="B177" s="100" t="s">
        <v>320</v>
      </c>
      <c r="C177" s="116" t="s">
        <v>321</v>
      </c>
      <c r="D177" s="117"/>
      <c r="E177" s="102"/>
      <c r="F177" s="103"/>
      <c r="G177" s="104"/>
      <c r="H177" s="104">
        <f>SUM(H178:H180)</f>
        <v>8457000</v>
      </c>
      <c r="I177" s="105" t="s">
        <v>322</v>
      </c>
      <c r="J177" s="106"/>
      <c r="T177" s="108"/>
      <c r="U177" s="108"/>
    </row>
    <row r="178" spans="1:21" s="65" customFormat="1">
      <c r="A178" s="55"/>
      <c r="B178" s="56" t="s">
        <v>323</v>
      </c>
      <c r="C178" s="57" t="s">
        <v>324</v>
      </c>
      <c r="D178" s="78">
        <f>K178*J178</f>
        <v>150000</v>
      </c>
      <c r="E178" s="94">
        <v>18.2</v>
      </c>
      <c r="F178" s="79" t="s">
        <v>21</v>
      </c>
      <c r="G178" s="61" t="s">
        <v>17</v>
      </c>
      <c r="H178" s="62">
        <f t="shared" ref="H178:H183" si="4">E178*D178</f>
        <v>2730000</v>
      </c>
      <c r="I178" s="63" t="s">
        <v>325</v>
      </c>
      <c r="J178" s="64">
        <v>3</v>
      </c>
      <c r="K178" s="109">
        <v>50000</v>
      </c>
      <c r="L178" s="110">
        <f t="shared" ref="L178:L183" si="5">K178/1000</f>
        <v>50</v>
      </c>
      <c r="T178" s="66"/>
      <c r="U178" s="66"/>
    </row>
    <row r="179" spans="1:21" s="65" customFormat="1">
      <c r="A179" s="55"/>
      <c r="B179" s="56" t="s">
        <v>326</v>
      </c>
      <c r="C179" s="57" t="s">
        <v>327</v>
      </c>
      <c r="D179" s="78">
        <f>K179*J179</f>
        <v>90000</v>
      </c>
      <c r="E179" s="94">
        <v>21.3</v>
      </c>
      <c r="F179" s="79" t="s">
        <v>21</v>
      </c>
      <c r="G179" s="61" t="s">
        <v>17</v>
      </c>
      <c r="H179" s="62">
        <f t="shared" si="4"/>
        <v>1917000</v>
      </c>
      <c r="I179" s="63" t="s">
        <v>328</v>
      </c>
      <c r="J179" s="64">
        <f>J178*2</f>
        <v>6</v>
      </c>
      <c r="K179" s="109">
        <v>15000</v>
      </c>
      <c r="L179" s="110">
        <f t="shared" si="5"/>
        <v>15</v>
      </c>
      <c r="T179" s="66"/>
      <c r="U179" s="66"/>
    </row>
    <row r="180" spans="1:21" s="65" customFormat="1">
      <c r="A180" s="55"/>
      <c r="B180" s="56" t="s">
        <v>329</v>
      </c>
      <c r="C180" s="57" t="s">
        <v>330</v>
      </c>
      <c r="D180" s="78">
        <f>K180*J180</f>
        <v>150000</v>
      </c>
      <c r="E180" s="94">
        <v>25.4</v>
      </c>
      <c r="F180" s="79" t="s">
        <v>21</v>
      </c>
      <c r="G180" s="61" t="s">
        <v>17</v>
      </c>
      <c r="H180" s="62">
        <f t="shared" si="4"/>
        <v>3810000</v>
      </c>
      <c r="I180" s="63" t="s">
        <v>331</v>
      </c>
      <c r="J180" s="64">
        <v>15</v>
      </c>
      <c r="K180" s="109">
        <v>10000</v>
      </c>
      <c r="L180" s="110">
        <f t="shared" si="5"/>
        <v>10</v>
      </c>
      <c r="T180" s="66"/>
      <c r="U180" s="66"/>
    </row>
    <row r="181" spans="1:21" s="107" customFormat="1">
      <c r="A181" s="99"/>
      <c r="B181" s="100" t="s">
        <v>332</v>
      </c>
      <c r="C181" s="116" t="s">
        <v>333</v>
      </c>
      <c r="D181" s="118">
        <f>K181</f>
        <v>45000</v>
      </c>
      <c r="E181" s="102">
        <v>15.6</v>
      </c>
      <c r="F181" s="103" t="s">
        <v>334</v>
      </c>
      <c r="G181" s="104" t="s">
        <v>17</v>
      </c>
      <c r="H181" s="87">
        <f t="shared" si="4"/>
        <v>702000</v>
      </c>
      <c r="I181" s="105" t="s">
        <v>207</v>
      </c>
      <c r="J181" s="106">
        <v>8</v>
      </c>
      <c r="K181" s="107">
        <v>45000</v>
      </c>
      <c r="L181" s="107">
        <f t="shared" si="5"/>
        <v>45</v>
      </c>
      <c r="T181" s="108"/>
      <c r="U181" s="108"/>
    </row>
    <row r="182" spans="1:21" s="107" customFormat="1">
      <c r="A182" s="99"/>
      <c r="B182" s="100" t="s">
        <v>335</v>
      </c>
      <c r="C182" s="116" t="s">
        <v>336</v>
      </c>
      <c r="D182" s="118">
        <f>K182</f>
        <v>158.58748626102499</v>
      </c>
      <c r="E182" s="102">
        <v>3100</v>
      </c>
      <c r="F182" s="103" t="s">
        <v>337</v>
      </c>
      <c r="G182" s="104" t="s">
        <v>17</v>
      </c>
      <c r="H182" s="87">
        <f t="shared" si="4"/>
        <v>491621.2074091775</v>
      </c>
      <c r="I182" s="105" t="s">
        <v>207</v>
      </c>
      <c r="J182" s="106">
        <v>12</v>
      </c>
      <c r="K182" s="119">
        <f>K183</f>
        <v>158.58748626102499</v>
      </c>
      <c r="L182" s="107">
        <f t="shared" si="5"/>
        <v>0.15858748626102498</v>
      </c>
      <c r="T182" s="108"/>
      <c r="U182" s="108"/>
    </row>
    <row r="183" spans="1:21" s="107" customFormat="1">
      <c r="A183" s="99"/>
      <c r="B183" s="100" t="s">
        <v>338</v>
      </c>
      <c r="C183" s="116" t="s">
        <v>339</v>
      </c>
      <c r="D183" s="118">
        <f>K183</f>
        <v>158.58748626102499</v>
      </c>
      <c r="E183" s="102">
        <v>5400</v>
      </c>
      <c r="F183" s="103" t="s">
        <v>337</v>
      </c>
      <c r="G183" s="104" t="s">
        <v>17</v>
      </c>
      <c r="H183" s="87">
        <f t="shared" si="4"/>
        <v>856372.42580953497</v>
      </c>
      <c r="I183" s="105" t="s">
        <v>207</v>
      </c>
      <c r="J183" s="106">
        <v>10</v>
      </c>
      <c r="K183" s="119">
        <v>158.58748626102499</v>
      </c>
      <c r="L183" s="107">
        <f t="shared" si="5"/>
        <v>0.15858748626102498</v>
      </c>
      <c r="T183" s="108"/>
      <c r="U183" s="108"/>
    </row>
    <row r="184" spans="1:21" s="53" customFormat="1">
      <c r="A184" s="120">
        <v>4</v>
      </c>
      <c r="B184" s="120"/>
      <c r="C184" s="121" t="s">
        <v>340</v>
      </c>
      <c r="D184" s="121"/>
      <c r="E184" s="122"/>
      <c r="F184" s="123"/>
      <c r="G184" s="124"/>
      <c r="H184" s="125">
        <f>H185+H191+H200+H208</f>
        <v>9582456</v>
      </c>
      <c r="I184" s="126"/>
      <c r="J184" s="52"/>
      <c r="T184" s="54"/>
      <c r="U184" s="54"/>
    </row>
    <row r="185" spans="1:21" s="107" customFormat="1" ht="30">
      <c r="A185" s="127"/>
      <c r="B185" s="100" t="s">
        <v>341</v>
      </c>
      <c r="C185" s="101" t="s">
        <v>342</v>
      </c>
      <c r="D185" s="101"/>
      <c r="E185" s="128"/>
      <c r="F185" s="129"/>
      <c r="G185" s="130"/>
      <c r="H185" s="104">
        <f>SUM(H186:H190)</f>
        <v>2760000</v>
      </c>
      <c r="I185" s="105" t="s">
        <v>343</v>
      </c>
      <c r="J185" s="106"/>
      <c r="T185" s="108"/>
      <c r="U185" s="108"/>
    </row>
    <row r="186" spans="1:21" s="65" customFormat="1" ht="30">
      <c r="A186" s="131"/>
      <c r="B186" s="132" t="s">
        <v>344</v>
      </c>
      <c r="C186" s="133" t="s">
        <v>345</v>
      </c>
      <c r="D186" s="133"/>
      <c r="E186" s="134"/>
      <c r="F186" s="135"/>
      <c r="G186" s="61" t="s">
        <v>17</v>
      </c>
      <c r="H186" s="62">
        <f>E186*D186</f>
        <v>0</v>
      </c>
      <c r="I186" s="136"/>
      <c r="J186" s="64"/>
      <c r="T186" s="66"/>
      <c r="U186" s="66"/>
    </row>
    <row r="187" spans="1:21" s="65" customFormat="1">
      <c r="A187" s="55"/>
      <c r="B187" s="56" t="s">
        <v>346</v>
      </c>
      <c r="C187" s="57" t="s">
        <v>347</v>
      </c>
      <c r="D187" s="78">
        <f>L187</f>
        <v>120</v>
      </c>
      <c r="E187" s="94">
        <v>5600</v>
      </c>
      <c r="F187" s="79" t="s">
        <v>206</v>
      </c>
      <c r="G187" s="61" t="s">
        <v>17</v>
      </c>
      <c r="H187" s="62">
        <f>E187*D187</f>
        <v>672000</v>
      </c>
      <c r="I187" s="63" t="s">
        <v>348</v>
      </c>
      <c r="J187" s="64">
        <v>12</v>
      </c>
      <c r="K187" s="65">
        <v>10</v>
      </c>
      <c r="L187" s="65">
        <f>J187*K187</f>
        <v>120</v>
      </c>
      <c r="T187" s="66"/>
      <c r="U187" s="66"/>
    </row>
    <row r="188" spans="1:21" s="65" customFormat="1">
      <c r="A188" s="131"/>
      <c r="B188" s="132" t="s">
        <v>349</v>
      </c>
      <c r="C188" s="133" t="s">
        <v>350</v>
      </c>
      <c r="D188" s="111"/>
      <c r="E188" s="134"/>
      <c r="F188" s="135"/>
      <c r="G188" s="61" t="s">
        <v>17</v>
      </c>
      <c r="H188" s="62">
        <f>E188*D188</f>
        <v>0</v>
      </c>
      <c r="I188" s="136"/>
      <c r="J188" s="64"/>
      <c r="T188" s="66"/>
      <c r="U188" s="66"/>
    </row>
    <row r="189" spans="1:21" s="65" customFormat="1">
      <c r="A189" s="55"/>
      <c r="B189" s="56" t="s">
        <v>351</v>
      </c>
      <c r="C189" s="57" t="s">
        <v>352</v>
      </c>
      <c r="D189" s="78">
        <f>L189</f>
        <v>180</v>
      </c>
      <c r="E189" s="94">
        <v>1400</v>
      </c>
      <c r="F189" s="79" t="s">
        <v>206</v>
      </c>
      <c r="G189" s="61" t="s">
        <v>17</v>
      </c>
      <c r="H189" s="62">
        <f>E189*D189</f>
        <v>252000</v>
      </c>
      <c r="I189" s="63" t="s">
        <v>353</v>
      </c>
      <c r="J189" s="64">
        <v>12</v>
      </c>
      <c r="K189" s="65">
        <v>15</v>
      </c>
      <c r="L189" s="65">
        <f>J189*K189</f>
        <v>180</v>
      </c>
      <c r="T189" s="66"/>
      <c r="U189" s="66"/>
    </row>
    <row r="190" spans="1:21" s="65" customFormat="1">
      <c r="A190" s="131"/>
      <c r="B190" s="132" t="s">
        <v>354</v>
      </c>
      <c r="C190" s="133" t="s">
        <v>355</v>
      </c>
      <c r="D190" s="78">
        <f>M190</f>
        <v>10800</v>
      </c>
      <c r="E190" s="134">
        <v>170</v>
      </c>
      <c r="F190" s="135" t="s">
        <v>356</v>
      </c>
      <c r="G190" s="61" t="s">
        <v>17</v>
      </c>
      <c r="H190" s="62">
        <f>E190*D190</f>
        <v>1836000</v>
      </c>
      <c r="I190" s="63" t="s">
        <v>357</v>
      </c>
      <c r="J190" s="64">
        <v>12</v>
      </c>
      <c r="K190" s="65">
        <v>90</v>
      </c>
      <c r="L190" s="65">
        <v>10</v>
      </c>
      <c r="M190" s="65">
        <f>J190*K190*L190</f>
        <v>10800</v>
      </c>
      <c r="T190" s="66"/>
      <c r="U190" s="66"/>
    </row>
    <row r="191" spans="1:21" s="107" customFormat="1">
      <c r="A191" s="127"/>
      <c r="B191" s="100" t="s">
        <v>358</v>
      </c>
      <c r="C191" s="101" t="s">
        <v>359</v>
      </c>
      <c r="D191" s="101"/>
      <c r="E191" s="128"/>
      <c r="F191" s="129"/>
      <c r="G191" s="130"/>
      <c r="H191" s="104">
        <f>SUM(H192:H199)</f>
        <v>2155800</v>
      </c>
      <c r="I191" s="105" t="s">
        <v>360</v>
      </c>
      <c r="J191" s="106"/>
      <c r="T191" s="108"/>
      <c r="U191" s="108"/>
    </row>
    <row r="192" spans="1:21" s="65" customFormat="1" ht="30">
      <c r="A192" s="131"/>
      <c r="B192" s="132" t="s">
        <v>361</v>
      </c>
      <c r="C192" s="133" t="s">
        <v>345</v>
      </c>
      <c r="D192" s="133"/>
      <c r="E192" s="134"/>
      <c r="F192" s="135"/>
      <c r="G192" s="61" t="s">
        <v>17</v>
      </c>
      <c r="H192" s="62">
        <f t="shared" ref="H192:H199" si="6">E192*D192</f>
        <v>0</v>
      </c>
      <c r="I192" s="136"/>
      <c r="J192" s="64"/>
      <c r="T192" s="66"/>
      <c r="U192" s="66"/>
    </row>
    <row r="193" spans="1:21" s="65" customFormat="1">
      <c r="A193" s="55"/>
      <c r="B193" s="56" t="s">
        <v>362</v>
      </c>
      <c r="C193" s="57" t="s">
        <v>363</v>
      </c>
      <c r="D193" s="78">
        <f>L193</f>
        <v>120</v>
      </c>
      <c r="E193" s="94">
        <v>3500</v>
      </c>
      <c r="F193" s="79" t="s">
        <v>206</v>
      </c>
      <c r="G193" s="61" t="s">
        <v>17</v>
      </c>
      <c r="H193" s="62">
        <f t="shared" si="6"/>
        <v>420000</v>
      </c>
      <c r="I193" s="63" t="s">
        <v>348</v>
      </c>
      <c r="J193" s="64">
        <v>12</v>
      </c>
      <c r="K193" s="65">
        <v>10</v>
      </c>
      <c r="L193" s="65">
        <f>J193*K193</f>
        <v>120</v>
      </c>
      <c r="T193" s="66"/>
      <c r="U193" s="66"/>
    </row>
    <row r="194" spans="1:21" s="65" customFormat="1">
      <c r="A194" s="55"/>
      <c r="B194" s="56" t="s">
        <v>364</v>
      </c>
      <c r="C194" s="57" t="s">
        <v>365</v>
      </c>
      <c r="D194" s="78">
        <f>L194</f>
        <v>120</v>
      </c>
      <c r="E194" s="94">
        <v>4700</v>
      </c>
      <c r="F194" s="79" t="s">
        <v>206</v>
      </c>
      <c r="G194" s="61" t="s">
        <v>17</v>
      </c>
      <c r="H194" s="62">
        <f t="shared" si="6"/>
        <v>564000</v>
      </c>
      <c r="I194" s="63" t="s">
        <v>348</v>
      </c>
      <c r="J194" s="64">
        <v>12</v>
      </c>
      <c r="K194" s="65">
        <v>10</v>
      </c>
      <c r="L194" s="65">
        <f>J194*K194</f>
        <v>120</v>
      </c>
      <c r="T194" s="66"/>
      <c r="U194" s="66"/>
    </row>
    <row r="195" spans="1:21" s="65" customFormat="1">
      <c r="A195" s="131"/>
      <c r="B195" s="132" t="s">
        <v>366</v>
      </c>
      <c r="C195" s="133" t="s">
        <v>350</v>
      </c>
      <c r="D195" s="111"/>
      <c r="E195" s="134"/>
      <c r="F195" s="135"/>
      <c r="G195" s="61" t="s">
        <v>17</v>
      </c>
      <c r="H195" s="62">
        <f t="shared" si="6"/>
        <v>0</v>
      </c>
      <c r="I195" s="136"/>
      <c r="J195" s="64"/>
      <c r="T195" s="66"/>
      <c r="U195" s="66"/>
    </row>
    <row r="196" spans="1:21" s="65" customFormat="1">
      <c r="A196" s="55"/>
      <c r="B196" s="56" t="s">
        <v>367</v>
      </c>
      <c r="C196" s="57" t="s">
        <v>352</v>
      </c>
      <c r="D196" s="78">
        <f>L196</f>
        <v>600</v>
      </c>
      <c r="E196" s="94">
        <v>600</v>
      </c>
      <c r="F196" s="79" t="s">
        <v>206</v>
      </c>
      <c r="G196" s="61" t="s">
        <v>17</v>
      </c>
      <c r="H196" s="62">
        <f t="shared" si="6"/>
        <v>360000</v>
      </c>
      <c r="I196" s="63" t="s">
        <v>368</v>
      </c>
      <c r="J196" s="64">
        <v>12</v>
      </c>
      <c r="K196" s="65">
        <v>50</v>
      </c>
      <c r="L196" s="65">
        <f>J196*K196</f>
        <v>600</v>
      </c>
      <c r="T196" s="66"/>
      <c r="U196" s="66"/>
    </row>
    <row r="197" spans="1:21" s="65" customFormat="1">
      <c r="A197" s="131"/>
      <c r="B197" s="132" t="s">
        <v>369</v>
      </c>
      <c r="C197" s="133" t="s">
        <v>370</v>
      </c>
      <c r="D197" s="78">
        <f>M197</f>
        <v>1080</v>
      </c>
      <c r="E197" s="134">
        <v>390</v>
      </c>
      <c r="F197" s="135" t="s">
        <v>356</v>
      </c>
      <c r="G197" s="61" t="s">
        <v>17</v>
      </c>
      <c r="H197" s="62">
        <f t="shared" si="6"/>
        <v>421200</v>
      </c>
      <c r="I197" s="63" t="s">
        <v>371</v>
      </c>
      <c r="J197" s="64">
        <v>12</v>
      </c>
      <c r="K197" s="65">
        <v>150</v>
      </c>
      <c r="L197" s="65">
        <v>0.6</v>
      </c>
      <c r="M197" s="65">
        <f>J197*K197*L197</f>
        <v>1080</v>
      </c>
      <c r="T197" s="66"/>
      <c r="U197" s="66"/>
    </row>
    <row r="198" spans="1:21" s="65" customFormat="1">
      <c r="A198" s="131"/>
      <c r="B198" s="132" t="s">
        <v>372</v>
      </c>
      <c r="C198" s="133" t="s">
        <v>373</v>
      </c>
      <c r="D198" s="78">
        <f>M198</f>
        <v>2700</v>
      </c>
      <c r="E198" s="134">
        <v>110</v>
      </c>
      <c r="F198" s="135" t="s">
        <v>356</v>
      </c>
      <c r="G198" s="61" t="s">
        <v>17</v>
      </c>
      <c r="H198" s="62">
        <f t="shared" si="6"/>
        <v>297000</v>
      </c>
      <c r="I198" s="63" t="s">
        <v>371</v>
      </c>
      <c r="J198" s="64">
        <v>12</v>
      </c>
      <c r="K198" s="65">
        <v>150</v>
      </c>
      <c r="L198" s="65">
        <v>1.5</v>
      </c>
      <c r="M198" s="65">
        <f>J198*K198*L198</f>
        <v>2700</v>
      </c>
      <c r="T198" s="66"/>
      <c r="U198" s="66"/>
    </row>
    <row r="199" spans="1:21" s="65" customFormat="1">
      <c r="A199" s="131"/>
      <c r="B199" s="132" t="s">
        <v>374</v>
      </c>
      <c r="C199" s="133" t="s">
        <v>375</v>
      </c>
      <c r="D199" s="78">
        <v>60</v>
      </c>
      <c r="E199" s="134">
        <v>1560</v>
      </c>
      <c r="F199" s="135" t="s">
        <v>206</v>
      </c>
      <c r="G199" s="61" t="s">
        <v>17</v>
      </c>
      <c r="H199" s="62">
        <f t="shared" si="6"/>
        <v>93600</v>
      </c>
      <c r="I199" s="63" t="s">
        <v>376</v>
      </c>
      <c r="J199" s="64">
        <v>12</v>
      </c>
      <c r="K199" s="65">
        <v>10</v>
      </c>
      <c r="L199" s="65">
        <f>J199*K199</f>
        <v>120</v>
      </c>
      <c r="T199" s="66"/>
      <c r="U199" s="66"/>
    </row>
    <row r="200" spans="1:21" s="107" customFormat="1">
      <c r="A200" s="127"/>
      <c r="B200" s="100" t="s">
        <v>377</v>
      </c>
      <c r="C200" s="101" t="s">
        <v>378</v>
      </c>
      <c r="D200" s="101"/>
      <c r="E200" s="128"/>
      <c r="F200" s="129"/>
      <c r="G200" s="130"/>
      <c r="H200" s="104">
        <f>SUM(H201:H207)</f>
        <v>2877816</v>
      </c>
      <c r="I200" s="105"/>
      <c r="J200" s="106"/>
      <c r="T200" s="108"/>
      <c r="U200" s="108"/>
    </row>
    <row r="201" spans="1:21" s="65" customFormat="1">
      <c r="A201" s="55"/>
      <c r="B201" s="56" t="s">
        <v>379</v>
      </c>
      <c r="C201" s="57" t="s">
        <v>380</v>
      </c>
      <c r="D201" s="78">
        <f t="shared" ref="D201:D207" si="7">L201</f>
        <v>1560</v>
      </c>
      <c r="E201" s="94">
        <v>189</v>
      </c>
      <c r="F201" s="79" t="s">
        <v>206</v>
      </c>
      <c r="G201" s="61" t="s">
        <v>17</v>
      </c>
      <c r="H201" s="62">
        <f t="shared" ref="H201:H207" si="8">E201*D201</f>
        <v>294840</v>
      </c>
      <c r="I201" s="63" t="s">
        <v>381</v>
      </c>
      <c r="J201" s="64">
        <v>12</v>
      </c>
      <c r="K201" s="65">
        <v>130</v>
      </c>
      <c r="L201" s="65">
        <f t="shared" ref="L201:L207" si="9">J201*K201</f>
        <v>1560</v>
      </c>
      <c r="T201" s="66"/>
      <c r="U201" s="66"/>
    </row>
    <row r="202" spans="1:21" s="65" customFormat="1" ht="30">
      <c r="A202" s="55"/>
      <c r="B202" s="56" t="s">
        <v>382</v>
      </c>
      <c r="C202" s="57" t="s">
        <v>383</v>
      </c>
      <c r="D202" s="78">
        <f t="shared" si="7"/>
        <v>1560</v>
      </c>
      <c r="E202" s="94">
        <v>703</v>
      </c>
      <c r="F202" s="79" t="s">
        <v>206</v>
      </c>
      <c r="G202" s="61" t="s">
        <v>17</v>
      </c>
      <c r="H202" s="62">
        <f t="shared" si="8"/>
        <v>1096680</v>
      </c>
      <c r="I202" s="63" t="s">
        <v>381</v>
      </c>
      <c r="J202" s="64">
        <v>12</v>
      </c>
      <c r="K202" s="65">
        <f>K201</f>
        <v>130</v>
      </c>
      <c r="L202" s="65">
        <f t="shared" si="9"/>
        <v>1560</v>
      </c>
      <c r="T202" s="66"/>
      <c r="U202" s="66"/>
    </row>
    <row r="203" spans="1:21" s="65" customFormat="1">
      <c r="A203" s="55"/>
      <c r="B203" s="56" t="s">
        <v>384</v>
      </c>
      <c r="C203" s="57" t="s">
        <v>385</v>
      </c>
      <c r="D203" s="78">
        <f t="shared" si="7"/>
        <v>1560</v>
      </c>
      <c r="E203" s="94">
        <v>186</v>
      </c>
      <c r="F203" s="79" t="s">
        <v>206</v>
      </c>
      <c r="G203" s="61" t="s">
        <v>17</v>
      </c>
      <c r="H203" s="62">
        <f t="shared" si="8"/>
        <v>290160</v>
      </c>
      <c r="I203" s="63" t="s">
        <v>381</v>
      </c>
      <c r="J203" s="64">
        <v>12</v>
      </c>
      <c r="K203" s="65">
        <f>K202</f>
        <v>130</v>
      </c>
      <c r="L203" s="65">
        <f t="shared" si="9"/>
        <v>1560</v>
      </c>
      <c r="T203" s="66"/>
      <c r="U203" s="66"/>
    </row>
    <row r="204" spans="1:21" s="65" customFormat="1">
      <c r="A204" s="55"/>
      <c r="B204" s="56" t="s">
        <v>386</v>
      </c>
      <c r="C204" s="57" t="s">
        <v>387</v>
      </c>
      <c r="D204" s="78">
        <f t="shared" si="7"/>
        <v>1560</v>
      </c>
      <c r="E204" s="94">
        <v>186</v>
      </c>
      <c r="F204" s="79" t="s">
        <v>206</v>
      </c>
      <c r="G204" s="61" t="s">
        <v>17</v>
      </c>
      <c r="H204" s="62">
        <f t="shared" si="8"/>
        <v>290160</v>
      </c>
      <c r="I204" s="63" t="s">
        <v>381</v>
      </c>
      <c r="J204" s="64">
        <v>12</v>
      </c>
      <c r="K204" s="65">
        <f>K203</f>
        <v>130</v>
      </c>
      <c r="L204" s="65">
        <f t="shared" si="9"/>
        <v>1560</v>
      </c>
      <c r="T204" s="66"/>
      <c r="U204" s="66"/>
    </row>
    <row r="205" spans="1:21" s="65" customFormat="1">
      <c r="A205" s="55"/>
      <c r="B205" s="56" t="s">
        <v>388</v>
      </c>
      <c r="C205" s="57" t="s">
        <v>389</v>
      </c>
      <c r="D205" s="78">
        <f t="shared" si="7"/>
        <v>1560</v>
      </c>
      <c r="E205" s="94">
        <v>245</v>
      </c>
      <c r="F205" s="79" t="s">
        <v>206</v>
      </c>
      <c r="G205" s="61" t="s">
        <v>17</v>
      </c>
      <c r="H205" s="62">
        <f t="shared" si="8"/>
        <v>382200</v>
      </c>
      <c r="I205" s="63" t="s">
        <v>381</v>
      </c>
      <c r="J205" s="64">
        <v>12</v>
      </c>
      <c r="K205" s="65">
        <f>K204</f>
        <v>130</v>
      </c>
      <c r="L205" s="65">
        <f t="shared" si="9"/>
        <v>1560</v>
      </c>
      <c r="T205" s="66"/>
      <c r="U205" s="66"/>
    </row>
    <row r="206" spans="1:21" s="65" customFormat="1">
      <c r="A206" s="55"/>
      <c r="B206" s="56" t="s">
        <v>390</v>
      </c>
      <c r="C206" s="57" t="s">
        <v>391</v>
      </c>
      <c r="D206" s="78">
        <f t="shared" si="7"/>
        <v>1560</v>
      </c>
      <c r="E206" s="94">
        <v>319</v>
      </c>
      <c r="F206" s="79" t="s">
        <v>206</v>
      </c>
      <c r="G206" s="61" t="s">
        <v>17</v>
      </c>
      <c r="H206" s="62">
        <f t="shared" si="8"/>
        <v>497640</v>
      </c>
      <c r="I206" s="63" t="s">
        <v>381</v>
      </c>
      <c r="J206" s="64">
        <v>12</v>
      </c>
      <c r="K206" s="65">
        <f>K205</f>
        <v>130</v>
      </c>
      <c r="L206" s="65">
        <f t="shared" si="9"/>
        <v>1560</v>
      </c>
      <c r="T206" s="66"/>
      <c r="U206" s="66"/>
    </row>
    <row r="207" spans="1:21" s="65" customFormat="1">
      <c r="A207" s="55"/>
      <c r="B207" s="56" t="s">
        <v>392</v>
      </c>
      <c r="C207" s="57" t="s">
        <v>393</v>
      </c>
      <c r="D207" s="78">
        <f t="shared" si="7"/>
        <v>132</v>
      </c>
      <c r="E207" s="94">
        <v>198</v>
      </c>
      <c r="F207" s="79" t="s">
        <v>206</v>
      </c>
      <c r="G207" s="61" t="s">
        <v>17</v>
      </c>
      <c r="H207" s="62">
        <f t="shared" si="8"/>
        <v>26136</v>
      </c>
      <c r="I207" s="63" t="s">
        <v>394</v>
      </c>
      <c r="J207" s="64">
        <v>12</v>
      </c>
      <c r="K207" s="65">
        <v>11</v>
      </c>
      <c r="L207" s="65">
        <f t="shared" si="9"/>
        <v>132</v>
      </c>
      <c r="T207" s="66"/>
      <c r="U207" s="66"/>
    </row>
    <row r="208" spans="1:21" s="107" customFormat="1">
      <c r="A208" s="127"/>
      <c r="B208" s="100" t="s">
        <v>395</v>
      </c>
      <c r="C208" s="101" t="s">
        <v>396</v>
      </c>
      <c r="D208" s="101"/>
      <c r="E208" s="128"/>
      <c r="F208" s="129"/>
      <c r="G208" s="130"/>
      <c r="H208" s="104">
        <f>SUM(H209:H214)</f>
        <v>1788840</v>
      </c>
      <c r="I208" s="105"/>
      <c r="J208" s="106"/>
      <c r="T208" s="108"/>
      <c r="U208" s="108"/>
    </row>
    <row r="209" spans="1:21" s="65" customFormat="1">
      <c r="A209" s="131"/>
      <c r="B209" s="132" t="s">
        <v>397</v>
      </c>
      <c r="C209" s="133" t="s">
        <v>398</v>
      </c>
      <c r="D209" s="133"/>
      <c r="E209" s="134"/>
      <c r="F209" s="135"/>
      <c r="G209" s="61" t="s">
        <v>17</v>
      </c>
      <c r="H209" s="62">
        <f t="shared" ref="H209:H214" si="10">E209*D209</f>
        <v>0</v>
      </c>
      <c r="I209" s="136"/>
      <c r="J209" s="64"/>
      <c r="T209" s="66"/>
      <c r="U209" s="66"/>
    </row>
    <row r="210" spans="1:21" s="65" customFormat="1">
      <c r="A210" s="55"/>
      <c r="B210" s="56" t="s">
        <v>399</v>
      </c>
      <c r="C210" s="57" t="s">
        <v>363</v>
      </c>
      <c r="D210" s="78">
        <f>L210</f>
        <v>108</v>
      </c>
      <c r="E210" s="94">
        <v>7200</v>
      </c>
      <c r="F210" s="79" t="s">
        <v>206</v>
      </c>
      <c r="G210" s="61" t="s">
        <v>17</v>
      </c>
      <c r="H210" s="62">
        <f t="shared" si="10"/>
        <v>777600</v>
      </c>
      <c r="I210" s="63" t="s">
        <v>400</v>
      </c>
      <c r="J210" s="64">
        <v>12</v>
      </c>
      <c r="K210" s="65">
        <v>9</v>
      </c>
      <c r="L210" s="65">
        <f>J210*K210</f>
        <v>108</v>
      </c>
      <c r="T210" s="66"/>
      <c r="U210" s="66"/>
    </row>
    <row r="211" spans="1:21" s="65" customFormat="1">
      <c r="A211" s="55"/>
      <c r="B211" s="56" t="s">
        <v>401</v>
      </c>
      <c r="C211" s="57" t="s">
        <v>365</v>
      </c>
      <c r="D211" s="78">
        <f>L211</f>
        <v>108</v>
      </c>
      <c r="E211" s="94">
        <v>8400</v>
      </c>
      <c r="F211" s="79" t="s">
        <v>206</v>
      </c>
      <c r="G211" s="61" t="s">
        <v>17</v>
      </c>
      <c r="H211" s="62">
        <f t="shared" si="10"/>
        <v>907200</v>
      </c>
      <c r="I211" s="63" t="s">
        <v>400</v>
      </c>
      <c r="J211" s="64">
        <v>12</v>
      </c>
      <c r="K211" s="65">
        <v>9</v>
      </c>
      <c r="L211" s="65">
        <f>J211*K211</f>
        <v>108</v>
      </c>
      <c r="T211" s="66"/>
      <c r="U211" s="66"/>
    </row>
    <row r="212" spans="1:21" s="65" customFormat="1">
      <c r="A212" s="131"/>
      <c r="B212" s="132" t="s">
        <v>402</v>
      </c>
      <c r="C212" s="133" t="s">
        <v>370</v>
      </c>
      <c r="D212" s="78">
        <f>M212</f>
        <v>120</v>
      </c>
      <c r="E212" s="137">
        <v>390</v>
      </c>
      <c r="F212" s="135" t="s">
        <v>356</v>
      </c>
      <c r="G212" s="61" t="s">
        <v>17</v>
      </c>
      <c r="H212" s="62">
        <f t="shared" si="10"/>
        <v>46800</v>
      </c>
      <c r="I212" s="63" t="s">
        <v>403</v>
      </c>
      <c r="J212" s="64">
        <v>12</v>
      </c>
      <c r="K212" s="65">
        <v>10</v>
      </c>
      <c r="L212" s="65">
        <v>1</v>
      </c>
      <c r="M212" s="65">
        <f>J212*K212*L212</f>
        <v>120</v>
      </c>
      <c r="T212" s="66"/>
      <c r="U212" s="66"/>
    </row>
    <row r="213" spans="1:21" s="65" customFormat="1">
      <c r="A213" s="131"/>
      <c r="B213" s="132" t="s">
        <v>404</v>
      </c>
      <c r="C213" s="133" t="s">
        <v>373</v>
      </c>
      <c r="D213" s="78">
        <f>M213</f>
        <v>180</v>
      </c>
      <c r="E213" s="134">
        <v>110</v>
      </c>
      <c r="F213" s="135" t="s">
        <v>356</v>
      </c>
      <c r="G213" s="61" t="s">
        <v>17</v>
      </c>
      <c r="H213" s="62">
        <f t="shared" si="10"/>
        <v>19800</v>
      </c>
      <c r="I213" s="63" t="s">
        <v>403</v>
      </c>
      <c r="J213" s="64">
        <v>12</v>
      </c>
      <c r="K213" s="65">
        <v>10</v>
      </c>
      <c r="L213" s="65">
        <v>1.5</v>
      </c>
      <c r="M213" s="65">
        <f>J213*K213*L213</f>
        <v>180</v>
      </c>
      <c r="T213" s="66"/>
      <c r="U213" s="66"/>
    </row>
    <row r="214" spans="1:21" s="65" customFormat="1">
      <c r="A214" s="131"/>
      <c r="B214" s="132" t="s">
        <v>405</v>
      </c>
      <c r="C214" s="133" t="s">
        <v>375</v>
      </c>
      <c r="D214" s="78">
        <f>L214</f>
        <v>24</v>
      </c>
      <c r="E214" s="137">
        <v>1560</v>
      </c>
      <c r="F214" s="135" t="s">
        <v>206</v>
      </c>
      <c r="G214" s="61" t="s">
        <v>17</v>
      </c>
      <c r="H214" s="62">
        <f t="shared" si="10"/>
        <v>37440</v>
      </c>
      <c r="I214" s="63" t="s">
        <v>406</v>
      </c>
      <c r="J214" s="64">
        <v>12</v>
      </c>
      <c r="K214" s="65">
        <v>2</v>
      </c>
      <c r="L214" s="65">
        <f>J214*K214</f>
        <v>24</v>
      </c>
      <c r="T214" s="66"/>
      <c r="U214" s="66"/>
    </row>
    <row r="215" spans="1:21" s="53" customFormat="1">
      <c r="A215" s="120">
        <v>5</v>
      </c>
      <c r="B215" s="120"/>
      <c r="C215" s="121" t="s">
        <v>407</v>
      </c>
      <c r="D215" s="121"/>
      <c r="E215" s="122"/>
      <c r="F215" s="123"/>
      <c r="G215" s="124"/>
      <c r="H215" s="125">
        <f>SUM(H216:H235)</f>
        <v>6348782</v>
      </c>
      <c r="I215" s="126"/>
      <c r="J215" s="52"/>
      <c r="T215" s="54"/>
      <c r="U215" s="54"/>
    </row>
    <row r="216" spans="1:21" s="65" customFormat="1" ht="30">
      <c r="A216" s="55"/>
      <c r="B216" s="132" t="s">
        <v>408</v>
      </c>
      <c r="C216" s="133" t="s">
        <v>409</v>
      </c>
      <c r="D216" s="133"/>
      <c r="E216" s="94"/>
      <c r="F216" s="79"/>
      <c r="G216" s="61"/>
      <c r="H216" s="62"/>
      <c r="I216" s="63"/>
      <c r="J216" s="64"/>
      <c r="T216" s="66"/>
      <c r="U216" s="66"/>
    </row>
    <row r="217" spans="1:21" s="65" customFormat="1" ht="30">
      <c r="A217" s="55"/>
      <c r="B217" s="56" t="s">
        <v>410</v>
      </c>
      <c r="C217" s="57" t="s">
        <v>411</v>
      </c>
      <c r="D217" s="78">
        <f>D10+D13+D16+D19+D22+D25+D28+D31+D34+D37+D40+D43+D178+D179+D180+D181</f>
        <v>875000</v>
      </c>
      <c r="E217" s="94">
        <v>0.43</v>
      </c>
      <c r="F217" s="79" t="s">
        <v>21</v>
      </c>
      <c r="G217" s="61" t="s">
        <v>17</v>
      </c>
      <c r="H217" s="62">
        <f>E217*D217</f>
        <v>376250</v>
      </c>
      <c r="I217" s="98" t="s">
        <v>412</v>
      </c>
      <c r="J217" s="64">
        <v>12</v>
      </c>
      <c r="K217" s="65">
        <v>20000</v>
      </c>
      <c r="L217" s="65">
        <f>J217*K217</f>
        <v>240000</v>
      </c>
      <c r="T217" s="66"/>
      <c r="U217" s="66"/>
    </row>
    <row r="218" spans="1:21" s="65" customFormat="1">
      <c r="A218" s="55"/>
      <c r="B218" s="56" t="s">
        <v>413</v>
      </c>
      <c r="C218" s="57" t="s">
        <v>414</v>
      </c>
      <c r="D218" s="78">
        <f>D160</f>
        <v>2800000</v>
      </c>
      <c r="E218" s="94">
        <v>0.37</v>
      </c>
      <c r="F218" s="79" t="s">
        <v>21</v>
      </c>
      <c r="G218" s="61" t="s">
        <v>17</v>
      </c>
      <c r="H218" s="62">
        <f>E218*D218</f>
        <v>1036000</v>
      </c>
      <c r="I218" s="98" t="s">
        <v>415</v>
      </c>
      <c r="J218" s="64">
        <v>12</v>
      </c>
      <c r="K218" s="65">
        <f>K217*2</f>
        <v>40000</v>
      </c>
      <c r="L218" s="65">
        <f>J218*K218</f>
        <v>480000</v>
      </c>
      <c r="T218" s="66"/>
      <c r="U218" s="66"/>
    </row>
    <row r="219" spans="1:21" s="65" customFormat="1" ht="30">
      <c r="A219" s="55"/>
      <c r="B219" s="132" t="s">
        <v>416</v>
      </c>
      <c r="C219" s="133" t="s">
        <v>417</v>
      </c>
      <c r="D219" s="111"/>
      <c r="E219" s="94"/>
      <c r="F219" s="79"/>
      <c r="G219" s="61" t="s">
        <v>17</v>
      </c>
      <c r="H219" s="62">
        <f>E219*D219</f>
        <v>0</v>
      </c>
      <c r="I219" s="63"/>
      <c r="J219" s="64"/>
      <c r="T219" s="66"/>
      <c r="U219" s="66"/>
    </row>
    <row r="220" spans="1:21" s="65" customFormat="1">
      <c r="A220" s="55"/>
      <c r="B220" s="56" t="s">
        <v>418</v>
      </c>
      <c r="C220" s="57" t="s">
        <v>411</v>
      </c>
      <c r="D220" s="78">
        <f>L220</f>
        <v>400000</v>
      </c>
      <c r="E220" s="94">
        <v>0.81</v>
      </c>
      <c r="F220" s="79" t="s">
        <v>21</v>
      </c>
      <c r="G220" s="61" t="s">
        <v>17</v>
      </c>
      <c r="H220" s="62">
        <f>E220*D220</f>
        <v>324000</v>
      </c>
      <c r="I220" s="63" t="s">
        <v>419</v>
      </c>
      <c r="J220" s="64">
        <v>20</v>
      </c>
      <c r="K220" s="65">
        <v>20000</v>
      </c>
      <c r="L220" s="65">
        <f>J220*K220</f>
        <v>400000</v>
      </c>
      <c r="T220" s="66"/>
      <c r="U220" s="66"/>
    </row>
    <row r="221" spans="1:21" s="65" customFormat="1">
      <c r="A221" s="55"/>
      <c r="B221" s="132" t="s">
        <v>420</v>
      </c>
      <c r="C221" s="133" t="s">
        <v>421</v>
      </c>
      <c r="D221" s="111"/>
      <c r="E221" s="94"/>
      <c r="F221" s="79"/>
      <c r="G221" s="61"/>
      <c r="H221" s="62"/>
      <c r="I221" s="63"/>
      <c r="J221" s="64"/>
      <c r="T221" s="66"/>
      <c r="U221" s="66"/>
    </row>
    <row r="222" spans="1:21" s="65" customFormat="1">
      <c r="A222" s="55"/>
      <c r="B222" s="56" t="s">
        <v>422</v>
      </c>
      <c r="C222" s="57" t="s">
        <v>423</v>
      </c>
      <c r="D222" s="78">
        <v>250</v>
      </c>
      <c r="E222" s="94">
        <v>1426</v>
      </c>
      <c r="F222" s="79" t="s">
        <v>337</v>
      </c>
      <c r="G222" s="61" t="s">
        <v>17</v>
      </c>
      <c r="H222" s="62">
        <f>E222*D222</f>
        <v>356500</v>
      </c>
      <c r="I222" s="63" t="s">
        <v>424</v>
      </c>
      <c r="J222" s="64">
        <v>12</v>
      </c>
      <c r="K222" s="109">
        <v>500000</v>
      </c>
      <c r="L222" s="110">
        <f>K222/1000</f>
        <v>500</v>
      </c>
      <c r="T222" s="66"/>
      <c r="U222" s="66"/>
    </row>
    <row r="223" spans="1:21" s="65" customFormat="1">
      <c r="A223" s="55"/>
      <c r="B223" s="56" t="s">
        <v>425</v>
      </c>
      <c r="C223" s="57" t="s">
        <v>426</v>
      </c>
      <c r="D223" s="78">
        <f>L223</f>
        <v>250</v>
      </c>
      <c r="E223" s="94">
        <v>2129</v>
      </c>
      <c r="F223" s="79" t="s">
        <v>337</v>
      </c>
      <c r="G223" s="61" t="s">
        <v>17</v>
      </c>
      <c r="H223" s="62">
        <f>E223*D223</f>
        <v>532250</v>
      </c>
      <c r="I223" s="63" t="s">
        <v>424</v>
      </c>
      <c r="J223" s="64">
        <v>12</v>
      </c>
      <c r="K223" s="109">
        <v>250000</v>
      </c>
      <c r="L223" s="110">
        <f>K223/1000</f>
        <v>250</v>
      </c>
      <c r="T223" s="66"/>
      <c r="U223" s="66"/>
    </row>
    <row r="224" spans="1:21" s="65" customFormat="1">
      <c r="A224" s="55"/>
      <c r="B224" s="132" t="s">
        <v>427</v>
      </c>
      <c r="C224" s="133" t="s">
        <v>428</v>
      </c>
      <c r="D224" s="78">
        <f>L224</f>
        <v>1000</v>
      </c>
      <c r="E224" s="94">
        <v>82</v>
      </c>
      <c r="F224" s="79" t="s">
        <v>206</v>
      </c>
      <c r="G224" s="61" t="s">
        <v>17</v>
      </c>
      <c r="H224" s="62">
        <f>E224*D224</f>
        <v>82000</v>
      </c>
      <c r="I224" s="63" t="s">
        <v>429</v>
      </c>
      <c r="J224" s="64">
        <v>12</v>
      </c>
      <c r="K224" s="109">
        <f>K222/500</f>
        <v>1000</v>
      </c>
      <c r="L224" s="110">
        <f>K224</f>
        <v>1000</v>
      </c>
      <c r="T224" s="66"/>
      <c r="U224" s="66"/>
    </row>
    <row r="225" spans="1:21" s="65" customFormat="1">
      <c r="A225" s="55"/>
      <c r="B225" s="132" t="s">
        <v>430</v>
      </c>
      <c r="C225" s="133" t="s">
        <v>431</v>
      </c>
      <c r="D225" s="111"/>
      <c r="E225" s="94"/>
      <c r="F225" s="79"/>
      <c r="G225" s="61"/>
      <c r="H225" s="62"/>
      <c r="I225" s="63"/>
      <c r="J225" s="64"/>
      <c r="T225" s="66"/>
      <c r="U225" s="66"/>
    </row>
    <row r="226" spans="1:21" s="65" customFormat="1" ht="45">
      <c r="A226" s="55"/>
      <c r="B226" s="56" t="s">
        <v>432</v>
      </c>
      <c r="C226" s="57" t="s">
        <v>433</v>
      </c>
      <c r="D226" s="78">
        <f>L226</f>
        <v>360</v>
      </c>
      <c r="E226" s="94">
        <v>2427</v>
      </c>
      <c r="F226" s="79" t="s">
        <v>434</v>
      </c>
      <c r="G226" s="61" t="s">
        <v>17</v>
      </c>
      <c r="H226" s="62">
        <f>E226*D226</f>
        <v>873720</v>
      </c>
      <c r="I226" s="63" t="s">
        <v>435</v>
      </c>
      <c r="J226" s="64">
        <v>12</v>
      </c>
      <c r="K226" s="109">
        <v>30</v>
      </c>
      <c r="L226" s="110">
        <f>K226*J226</f>
        <v>360</v>
      </c>
      <c r="T226" s="66"/>
      <c r="U226" s="66"/>
    </row>
    <row r="227" spans="1:21" s="65" customFormat="1">
      <c r="A227" s="55"/>
      <c r="B227" s="132" t="s">
        <v>436</v>
      </c>
      <c r="C227" s="133" t="s">
        <v>437</v>
      </c>
      <c r="D227" s="111"/>
      <c r="E227" s="94"/>
      <c r="F227" s="79"/>
      <c r="G227" s="61"/>
      <c r="H227" s="62"/>
      <c r="I227" s="63"/>
      <c r="J227" s="64"/>
      <c r="T227" s="66"/>
      <c r="U227" s="66"/>
    </row>
    <row r="228" spans="1:21" s="65" customFormat="1">
      <c r="A228" s="55"/>
      <c r="B228" s="56" t="s">
        <v>438</v>
      </c>
      <c r="C228" s="57" t="s">
        <v>439</v>
      </c>
      <c r="D228" s="78">
        <f>L228</f>
        <v>264</v>
      </c>
      <c r="E228" s="94">
        <v>2108</v>
      </c>
      <c r="F228" s="79" t="s">
        <v>206</v>
      </c>
      <c r="G228" s="61" t="s">
        <v>17</v>
      </c>
      <c r="H228" s="62">
        <f>E228*D228</f>
        <v>556512</v>
      </c>
      <c r="I228" s="63" t="s">
        <v>440</v>
      </c>
      <c r="J228" s="64">
        <v>12</v>
      </c>
      <c r="K228" s="109">
        <v>22</v>
      </c>
      <c r="L228" s="110">
        <f>K228*J228</f>
        <v>264</v>
      </c>
      <c r="T228" s="66"/>
      <c r="U228" s="66"/>
    </row>
    <row r="229" spans="1:21" s="65" customFormat="1">
      <c r="A229" s="55"/>
      <c r="B229" s="132" t="s">
        <v>441</v>
      </c>
      <c r="C229" s="133" t="s">
        <v>442</v>
      </c>
      <c r="D229" s="111"/>
      <c r="E229" s="94"/>
      <c r="F229" s="79"/>
      <c r="G229" s="61"/>
      <c r="H229" s="62"/>
      <c r="I229" s="63"/>
      <c r="J229" s="64"/>
      <c r="T229" s="66"/>
      <c r="U229" s="66"/>
    </row>
    <row r="230" spans="1:21" s="65" customFormat="1">
      <c r="A230" s="55"/>
      <c r="B230" s="56" t="s">
        <v>443</v>
      </c>
      <c r="C230" s="57" t="s">
        <v>444</v>
      </c>
      <c r="D230" s="78">
        <f>D160</f>
        <v>2800000</v>
      </c>
      <c r="E230" s="94">
        <v>0.17</v>
      </c>
      <c r="F230" s="79" t="s">
        <v>21</v>
      </c>
      <c r="G230" s="61" t="s">
        <v>17</v>
      </c>
      <c r="H230" s="62">
        <f>E230*D230</f>
        <v>476000.00000000006</v>
      </c>
      <c r="I230" s="63" t="s">
        <v>419</v>
      </c>
      <c r="J230" s="64">
        <v>12</v>
      </c>
      <c r="K230" s="109">
        <f>K222</f>
        <v>500000</v>
      </c>
      <c r="L230" s="110">
        <f>K230*J230</f>
        <v>6000000</v>
      </c>
      <c r="T230" s="66"/>
      <c r="U230" s="66"/>
    </row>
    <row r="231" spans="1:21" s="65" customFormat="1">
      <c r="A231" s="55"/>
      <c r="B231" s="56" t="s">
        <v>445</v>
      </c>
      <c r="C231" s="57" t="s">
        <v>446</v>
      </c>
      <c r="D231" s="78">
        <f>D10+D13+D16+D19+D22+D25+D28+D31+D34+D37+D40+D43</f>
        <v>440000</v>
      </c>
      <c r="E231" s="94">
        <v>0.45</v>
      </c>
      <c r="F231" s="79" t="s">
        <v>21</v>
      </c>
      <c r="G231" s="61" t="s">
        <v>17</v>
      </c>
      <c r="H231" s="62">
        <f>E231*D231</f>
        <v>198000</v>
      </c>
      <c r="I231" s="63" t="s">
        <v>447</v>
      </c>
      <c r="J231" s="138">
        <v>1</v>
      </c>
      <c r="K231" s="109">
        <f>(D72+D72+D73+D74+D75)</f>
        <v>505000</v>
      </c>
      <c r="L231" s="110">
        <f>K231*J231</f>
        <v>505000</v>
      </c>
      <c r="T231" s="66"/>
      <c r="U231" s="66"/>
    </row>
    <row r="232" spans="1:21" s="65" customFormat="1" ht="45">
      <c r="A232" s="55"/>
      <c r="B232" s="132" t="s">
        <v>448</v>
      </c>
      <c r="C232" s="133" t="s">
        <v>449</v>
      </c>
      <c r="D232" s="111"/>
      <c r="E232" s="94"/>
      <c r="F232" s="79"/>
      <c r="G232" s="61"/>
      <c r="H232" s="62"/>
      <c r="I232" s="63"/>
      <c r="J232" s="64"/>
      <c r="T232" s="66"/>
      <c r="U232" s="66"/>
    </row>
    <row r="233" spans="1:21" s="65" customFormat="1">
      <c r="A233" s="55"/>
      <c r="B233" s="56" t="s">
        <v>450</v>
      </c>
      <c r="C233" s="57" t="s">
        <v>411</v>
      </c>
      <c r="D233" s="78">
        <f>L233</f>
        <v>647500</v>
      </c>
      <c r="E233" s="94">
        <v>0.9</v>
      </c>
      <c r="F233" s="79" t="s">
        <v>21</v>
      </c>
      <c r="G233" s="61" t="s">
        <v>17</v>
      </c>
      <c r="H233" s="62">
        <f>E233*D233</f>
        <v>582750</v>
      </c>
      <c r="I233" s="98" t="s">
        <v>451</v>
      </c>
      <c r="J233" s="139">
        <v>1</v>
      </c>
      <c r="K233" s="109">
        <f>SUM(D51:D57)+SUM(D59:D65)+(D72+D73+D74+D75)</f>
        <v>647500</v>
      </c>
      <c r="L233" s="110">
        <f>K233*J233</f>
        <v>647500</v>
      </c>
      <c r="T233" s="66"/>
      <c r="U233" s="66"/>
    </row>
    <row r="234" spans="1:21" s="65" customFormat="1" ht="30">
      <c r="A234" s="55"/>
      <c r="B234" s="132" t="s">
        <v>452</v>
      </c>
      <c r="C234" s="133" t="s">
        <v>453</v>
      </c>
      <c r="D234" s="111"/>
      <c r="E234" s="94"/>
      <c r="F234" s="79"/>
      <c r="G234" s="61"/>
      <c r="H234" s="62"/>
      <c r="I234" s="63"/>
      <c r="J234" s="64"/>
      <c r="T234" s="66"/>
      <c r="U234" s="66"/>
    </row>
    <row r="235" spans="1:21" s="65" customFormat="1">
      <c r="A235" s="55"/>
      <c r="B235" s="56" t="s">
        <v>454</v>
      </c>
      <c r="C235" s="57" t="s">
        <v>455</v>
      </c>
      <c r="D235" s="78">
        <f>D230/1000</f>
        <v>2800</v>
      </c>
      <c r="E235" s="94">
        <v>341</v>
      </c>
      <c r="F235" s="79" t="s">
        <v>456</v>
      </c>
      <c r="G235" s="61" t="s">
        <v>17</v>
      </c>
      <c r="H235" s="62">
        <f>E235*D235</f>
        <v>954800</v>
      </c>
      <c r="I235" s="63" t="s">
        <v>457</v>
      </c>
      <c r="J235" s="64">
        <v>12</v>
      </c>
      <c r="K235" s="109">
        <v>60</v>
      </c>
      <c r="L235" s="110">
        <f>K235*J235</f>
        <v>720</v>
      </c>
      <c r="T235" s="66"/>
      <c r="U235" s="66"/>
    </row>
    <row r="236" spans="1:21" s="53" customFormat="1">
      <c r="A236" s="120">
        <v>6</v>
      </c>
      <c r="B236" s="120"/>
      <c r="C236" s="140" t="s">
        <v>458</v>
      </c>
      <c r="D236" s="140"/>
      <c r="E236" s="122"/>
      <c r="F236" s="123"/>
      <c r="G236" s="124"/>
      <c r="H236" s="125">
        <f>SUM(H237:H253)</f>
        <v>8687722</v>
      </c>
      <c r="I236" s="126"/>
      <c r="J236" s="52"/>
      <c r="T236" s="54"/>
      <c r="U236" s="54"/>
    </row>
    <row r="237" spans="1:21" s="65" customFormat="1">
      <c r="A237" s="131"/>
      <c r="B237" s="132"/>
      <c r="C237" s="133" t="s">
        <v>459</v>
      </c>
      <c r="D237" s="78">
        <v>59</v>
      </c>
      <c r="E237" s="141">
        <v>3116</v>
      </c>
      <c r="F237" s="142" t="s">
        <v>16</v>
      </c>
      <c r="G237" s="61" t="s">
        <v>17</v>
      </c>
      <c r="H237" s="62">
        <f t="shared" ref="H237:H244" si="11">E237*D237</f>
        <v>183844</v>
      </c>
      <c r="I237" s="136" t="s">
        <v>460</v>
      </c>
      <c r="J237" s="64">
        <v>12</v>
      </c>
      <c r="K237" s="109">
        <v>10</v>
      </c>
      <c r="L237" s="110">
        <f>K237*J237</f>
        <v>120</v>
      </c>
      <c r="T237" s="66" t="e">
        <f>#VALUE!</f>
        <v>#VALUE!</v>
      </c>
      <c r="U237" s="66">
        <v>0</v>
      </c>
    </row>
    <row r="238" spans="1:21" s="144" customFormat="1">
      <c r="A238" s="55"/>
      <c r="B238" s="56" t="s">
        <v>461</v>
      </c>
      <c r="C238" s="57" t="s">
        <v>462</v>
      </c>
      <c r="D238" s="78">
        <f>D10+D13+D16+D19+D25+D28+D31+D34+D37</f>
        <v>300000</v>
      </c>
      <c r="E238" s="94">
        <v>6</v>
      </c>
      <c r="F238" s="79" t="s">
        <v>21</v>
      </c>
      <c r="G238" s="61" t="s">
        <v>17</v>
      </c>
      <c r="H238" s="62">
        <f t="shared" si="11"/>
        <v>1800000</v>
      </c>
      <c r="I238" s="98" t="s">
        <v>463</v>
      </c>
      <c r="J238" s="143"/>
      <c r="T238" s="145"/>
      <c r="U238" s="145"/>
    </row>
    <row r="239" spans="1:21" s="144" customFormat="1">
      <c r="A239" s="55"/>
      <c r="B239" s="56" t="s">
        <v>464</v>
      </c>
      <c r="C239" s="57" t="s">
        <v>465</v>
      </c>
      <c r="D239" s="78">
        <f>D11+D14+D17+D20+D26+D29+D32+D35+D38</f>
        <v>230000</v>
      </c>
      <c r="E239" s="94">
        <v>7.2</v>
      </c>
      <c r="F239" s="79" t="s">
        <v>21</v>
      </c>
      <c r="G239" s="61" t="s">
        <v>17</v>
      </c>
      <c r="H239" s="62">
        <f t="shared" si="11"/>
        <v>1656000</v>
      </c>
      <c r="I239" s="98" t="s">
        <v>466</v>
      </c>
      <c r="J239" s="143"/>
      <c r="T239" s="145"/>
      <c r="U239" s="145"/>
    </row>
    <row r="240" spans="1:21" s="144" customFormat="1">
      <c r="A240" s="55"/>
      <c r="B240" s="56" t="s">
        <v>467</v>
      </c>
      <c r="C240" s="57" t="s">
        <v>47</v>
      </c>
      <c r="D240" s="78">
        <f>D22</f>
        <v>35000</v>
      </c>
      <c r="E240" s="94">
        <v>8</v>
      </c>
      <c r="F240" s="79" t="s">
        <v>21</v>
      </c>
      <c r="G240" s="61" t="s">
        <v>17</v>
      </c>
      <c r="H240" s="62">
        <f t="shared" si="11"/>
        <v>280000</v>
      </c>
      <c r="I240" s="98" t="s">
        <v>468</v>
      </c>
      <c r="J240" s="143"/>
      <c r="T240" s="145"/>
      <c r="U240" s="145"/>
    </row>
    <row r="241" spans="1:21" s="144" customFormat="1">
      <c r="A241" s="55"/>
      <c r="B241" s="56" t="s">
        <v>469</v>
      </c>
      <c r="C241" s="57" t="s">
        <v>49</v>
      </c>
      <c r="D241" s="78">
        <f>D23</f>
        <v>25000</v>
      </c>
      <c r="E241" s="94">
        <v>9.6</v>
      </c>
      <c r="F241" s="79" t="s">
        <v>21</v>
      </c>
      <c r="G241" s="61" t="s">
        <v>17</v>
      </c>
      <c r="H241" s="62">
        <f t="shared" si="11"/>
        <v>240000</v>
      </c>
      <c r="I241" s="98" t="s">
        <v>470</v>
      </c>
      <c r="J241" s="143"/>
      <c r="T241" s="145"/>
      <c r="U241" s="145"/>
    </row>
    <row r="242" spans="1:21" s="144" customFormat="1">
      <c r="A242" s="55"/>
      <c r="B242" s="56" t="s">
        <v>471</v>
      </c>
      <c r="C242" s="57" t="s">
        <v>472</v>
      </c>
      <c r="D242" s="78">
        <f>D43</f>
        <v>15000</v>
      </c>
      <c r="E242" s="94">
        <v>10.5</v>
      </c>
      <c r="F242" s="79" t="s">
        <v>21</v>
      </c>
      <c r="G242" s="61" t="s">
        <v>17</v>
      </c>
      <c r="H242" s="62">
        <f t="shared" si="11"/>
        <v>157500</v>
      </c>
      <c r="I242" s="98" t="s">
        <v>473</v>
      </c>
      <c r="J242" s="143"/>
      <c r="T242" s="145"/>
      <c r="U242" s="145"/>
    </row>
    <row r="243" spans="1:21" s="144" customFormat="1">
      <c r="A243" s="55"/>
      <c r="B243" s="56" t="s">
        <v>474</v>
      </c>
      <c r="C243" s="57" t="s">
        <v>475</v>
      </c>
      <c r="D243" s="78">
        <f>D25</f>
        <v>30000</v>
      </c>
      <c r="E243" s="94">
        <v>2</v>
      </c>
      <c r="F243" s="79" t="s">
        <v>21</v>
      </c>
      <c r="G243" s="61" t="s">
        <v>17</v>
      </c>
      <c r="H243" s="62">
        <f t="shared" si="11"/>
        <v>60000</v>
      </c>
      <c r="I243" s="98" t="s">
        <v>476</v>
      </c>
      <c r="J243" s="143"/>
      <c r="T243" s="145"/>
      <c r="U243" s="145"/>
    </row>
    <row r="244" spans="1:21" s="144" customFormat="1">
      <c r="A244" s="55"/>
      <c r="B244" s="56" t="s">
        <v>477</v>
      </c>
      <c r="C244" s="57" t="s">
        <v>478</v>
      </c>
      <c r="D244" s="78">
        <f>D26</f>
        <v>25000</v>
      </c>
      <c r="E244" s="94">
        <v>2.4</v>
      </c>
      <c r="F244" s="79" t="s">
        <v>21</v>
      </c>
      <c r="G244" s="61" t="s">
        <v>17</v>
      </c>
      <c r="H244" s="62">
        <f t="shared" si="11"/>
        <v>60000</v>
      </c>
      <c r="I244" s="98" t="s">
        <v>479</v>
      </c>
      <c r="J244" s="143"/>
      <c r="T244" s="145"/>
      <c r="U244" s="145"/>
    </row>
    <row r="245" spans="1:21" s="154" customFormat="1" ht="30">
      <c r="A245" s="146"/>
      <c r="B245" s="147"/>
      <c r="C245" s="148" t="s">
        <v>480</v>
      </c>
      <c r="D245" s="148"/>
      <c r="E245" s="149"/>
      <c r="F245" s="150"/>
      <c r="G245" s="151"/>
      <c r="H245" s="151"/>
      <c r="I245" s="152" t="s">
        <v>481</v>
      </c>
      <c r="J245" s="153"/>
      <c r="T245" s="155"/>
      <c r="U245" s="155"/>
    </row>
    <row r="246" spans="1:21" s="144" customFormat="1">
      <c r="A246" s="55"/>
      <c r="B246" s="56" t="s">
        <v>482</v>
      </c>
      <c r="C246" s="57" t="s">
        <v>483</v>
      </c>
      <c r="D246" s="78">
        <f>D69+D70</f>
        <v>335000</v>
      </c>
      <c r="E246" s="94">
        <v>0.47</v>
      </c>
      <c r="F246" s="79" t="s">
        <v>21</v>
      </c>
      <c r="G246" s="61" t="s">
        <v>17</v>
      </c>
      <c r="H246" s="62">
        <f>E246*D246</f>
        <v>157450</v>
      </c>
      <c r="I246" s="98" t="s">
        <v>484</v>
      </c>
      <c r="J246" s="143"/>
      <c r="T246" s="145"/>
      <c r="U246" s="145"/>
    </row>
    <row r="247" spans="1:21" s="144" customFormat="1">
      <c r="A247" s="55"/>
      <c r="B247" s="56" t="s">
        <v>485</v>
      </c>
      <c r="C247" s="57" t="s">
        <v>486</v>
      </c>
      <c r="D247" s="78">
        <f>SUM(D72:D88)</f>
        <v>532875</v>
      </c>
      <c r="E247" s="94">
        <v>0.68</v>
      </c>
      <c r="F247" s="79" t="s">
        <v>21</v>
      </c>
      <c r="G247" s="61" t="s">
        <v>17</v>
      </c>
      <c r="H247" s="62">
        <f>E247*D247</f>
        <v>362355</v>
      </c>
      <c r="I247" s="98" t="s">
        <v>487</v>
      </c>
      <c r="J247" s="143"/>
      <c r="T247" s="145"/>
      <c r="U247" s="145"/>
    </row>
    <row r="248" spans="1:21" s="144" customFormat="1">
      <c r="A248" s="55"/>
      <c r="B248" s="56" t="s">
        <v>488</v>
      </c>
      <c r="C248" s="57" t="s">
        <v>489</v>
      </c>
      <c r="D248" s="78">
        <f>SUM(D122:D127)</f>
        <v>364400</v>
      </c>
      <c r="E248" s="94">
        <v>0.99</v>
      </c>
      <c r="F248" s="79" t="s">
        <v>21</v>
      </c>
      <c r="G248" s="61" t="s">
        <v>17</v>
      </c>
      <c r="H248" s="62">
        <f>E248*D248</f>
        <v>360756</v>
      </c>
      <c r="I248" s="98" t="s">
        <v>490</v>
      </c>
      <c r="J248" s="143"/>
      <c r="T248" s="145"/>
      <c r="U248" s="145"/>
    </row>
    <row r="249" spans="1:21" s="144" customFormat="1" ht="30">
      <c r="A249" s="55"/>
      <c r="B249" s="56" t="s">
        <v>491</v>
      </c>
      <c r="C249" s="57" t="s">
        <v>492</v>
      </c>
      <c r="D249" s="78">
        <f>SUM(D90:D112)</f>
        <v>1334200</v>
      </c>
      <c r="E249" s="94">
        <v>0.36</v>
      </c>
      <c r="F249" s="79" t="s">
        <v>21</v>
      </c>
      <c r="G249" s="61" t="s">
        <v>17</v>
      </c>
      <c r="H249" s="62">
        <f>E249*D249</f>
        <v>480312</v>
      </c>
      <c r="I249" s="98" t="s">
        <v>493</v>
      </c>
      <c r="J249" s="143"/>
      <c r="T249" s="145"/>
      <c r="U249" s="145"/>
    </row>
    <row r="250" spans="1:21" s="144" customFormat="1" ht="30">
      <c r="A250" s="55"/>
      <c r="B250" s="56" t="s">
        <v>494</v>
      </c>
      <c r="C250" s="57" t="s">
        <v>495</v>
      </c>
      <c r="D250" s="78">
        <f>SUM(D137:D146)</f>
        <v>244250</v>
      </c>
      <c r="E250" s="94">
        <v>0.26</v>
      </c>
      <c r="F250" s="79" t="s">
        <v>21</v>
      </c>
      <c r="G250" s="61" t="s">
        <v>17</v>
      </c>
      <c r="H250" s="62">
        <f>E250*D250</f>
        <v>63505</v>
      </c>
      <c r="I250" s="98" t="s">
        <v>496</v>
      </c>
      <c r="J250" s="143"/>
      <c r="T250" s="145"/>
      <c r="U250" s="145"/>
    </row>
    <row r="251" spans="1:21" s="154" customFormat="1">
      <c r="A251" s="146"/>
      <c r="B251" s="147"/>
      <c r="C251" s="148" t="s">
        <v>497</v>
      </c>
      <c r="D251" s="148"/>
      <c r="E251" s="149"/>
      <c r="F251" s="150"/>
      <c r="G251" s="151"/>
      <c r="H251" s="151"/>
      <c r="I251" s="152"/>
      <c r="J251" s="153"/>
      <c r="T251" s="155"/>
      <c r="U251" s="155"/>
    </row>
    <row r="252" spans="1:21" s="65" customFormat="1" ht="30">
      <c r="A252" s="131"/>
      <c r="B252" s="132"/>
      <c r="C252" s="133" t="s">
        <v>498</v>
      </c>
      <c r="D252" s="78"/>
      <c r="E252" s="141"/>
      <c r="F252" s="142"/>
      <c r="G252" s="61"/>
      <c r="H252" s="62"/>
      <c r="I252" s="63" t="s">
        <v>499</v>
      </c>
      <c r="J252" s="64">
        <v>12</v>
      </c>
      <c r="K252" s="109">
        <v>10</v>
      </c>
      <c r="L252" s="110">
        <f>K252*J252</f>
        <v>120</v>
      </c>
      <c r="T252" s="66" t="e">
        <f>#VALUE!</f>
        <v>#VALUE!</v>
      </c>
      <c r="U252" s="66">
        <v>0</v>
      </c>
    </row>
    <row r="253" spans="1:21" s="144" customFormat="1">
      <c r="A253" s="55"/>
      <c r="B253" s="56" t="s">
        <v>500</v>
      </c>
      <c r="C253" s="57" t="s">
        <v>501</v>
      </c>
      <c r="D253" s="78">
        <f>D40+D41+D51+D52+D53+D54+D55+D56+D57+D160</f>
        <v>3140000</v>
      </c>
      <c r="E253" s="94">
        <v>0.9</v>
      </c>
      <c r="F253" s="79" t="s">
        <v>21</v>
      </c>
      <c r="G253" s="61" t="s">
        <v>17</v>
      </c>
      <c r="H253" s="62">
        <f>E253*D253</f>
        <v>2826000</v>
      </c>
      <c r="I253" s="98" t="s">
        <v>502</v>
      </c>
      <c r="J253" s="143"/>
      <c r="T253" s="145"/>
      <c r="U253" s="145"/>
    </row>
    <row r="254" spans="1:21" s="53" customFormat="1">
      <c r="A254" s="120">
        <v>7</v>
      </c>
      <c r="B254" s="120"/>
      <c r="C254" s="140" t="s">
        <v>503</v>
      </c>
      <c r="D254" s="140"/>
      <c r="E254" s="122"/>
      <c r="F254" s="123"/>
      <c r="G254" s="124"/>
      <c r="H254" s="125">
        <f>SUM(H255)</f>
        <v>10269999.169982806</v>
      </c>
      <c r="I254" s="126"/>
      <c r="J254" s="52"/>
      <c r="T254" s="54"/>
      <c r="U254" s="54"/>
    </row>
    <row r="255" spans="1:21" s="144" customFormat="1" ht="30">
      <c r="A255" s="55"/>
      <c r="B255" s="156" t="s">
        <v>504</v>
      </c>
      <c r="C255" s="157" t="s">
        <v>505</v>
      </c>
      <c r="D255" s="78">
        <f>H6+H66+H156</f>
        <v>68466661.133218706</v>
      </c>
      <c r="E255" s="158">
        <v>0.15</v>
      </c>
      <c r="F255" s="79" t="s">
        <v>506</v>
      </c>
      <c r="G255" s="61" t="s">
        <v>507</v>
      </c>
      <c r="H255" s="62">
        <f>E255*D255</f>
        <v>10269999.169982806</v>
      </c>
      <c r="I255" s="159" t="s">
        <v>508</v>
      </c>
      <c r="J255" s="143"/>
      <c r="T255" s="145"/>
      <c r="U255" s="145"/>
    </row>
    <row r="256" spans="1:21" s="53" customFormat="1">
      <c r="A256" s="120">
        <v>8</v>
      </c>
      <c r="B256" s="120"/>
      <c r="C256" s="121" t="s">
        <v>509</v>
      </c>
      <c r="D256" s="121"/>
      <c r="E256" s="122"/>
      <c r="F256" s="123"/>
      <c r="G256" s="124"/>
      <c r="H256" s="125">
        <f>H257+H258</f>
        <v>1402100.1245585454</v>
      </c>
      <c r="I256" s="126"/>
      <c r="J256" s="52"/>
      <c r="T256" s="54"/>
      <c r="U256" s="54"/>
    </row>
    <row r="257" spans="1:21" s="65" customFormat="1" ht="30">
      <c r="A257" s="55"/>
      <c r="B257" s="56" t="s">
        <v>510</v>
      </c>
      <c r="C257" s="57" t="s">
        <v>511</v>
      </c>
      <c r="D257" s="78">
        <f>O257</f>
        <v>1152</v>
      </c>
      <c r="E257" s="94">
        <f>K269</f>
        <v>608.55040128409087</v>
      </c>
      <c r="F257" s="79" t="s">
        <v>512</v>
      </c>
      <c r="G257" s="61" t="s">
        <v>17</v>
      </c>
      <c r="H257" s="62">
        <f>E257*D257</f>
        <v>701050.06227927271</v>
      </c>
      <c r="I257" s="63" t="s">
        <v>513</v>
      </c>
      <c r="J257" s="64">
        <v>2</v>
      </c>
      <c r="K257" s="65">
        <v>2</v>
      </c>
      <c r="L257" s="65">
        <v>4</v>
      </c>
      <c r="M257" s="65">
        <v>6</v>
      </c>
      <c r="N257" s="65">
        <v>12</v>
      </c>
      <c r="O257" s="109">
        <f>J257*K257*L257*M257*N257</f>
        <v>1152</v>
      </c>
      <c r="T257" s="66"/>
      <c r="U257" s="66"/>
    </row>
    <row r="258" spans="1:21" s="65" customFormat="1" ht="30">
      <c r="A258" s="55"/>
      <c r="B258" s="56" t="s">
        <v>514</v>
      </c>
      <c r="C258" s="57" t="s">
        <v>515</v>
      </c>
      <c r="D258" s="78">
        <f>O258</f>
        <v>1152</v>
      </c>
      <c r="E258" s="94">
        <f>K269</f>
        <v>608.55040128409087</v>
      </c>
      <c r="F258" s="79" t="s">
        <v>512</v>
      </c>
      <c r="G258" s="61" t="s">
        <v>17</v>
      </c>
      <c r="H258" s="62">
        <f>E258*D258</f>
        <v>701050.06227927271</v>
      </c>
      <c r="I258" s="63" t="s">
        <v>513</v>
      </c>
      <c r="J258" s="64">
        <f>J257</f>
        <v>2</v>
      </c>
      <c r="K258" s="64">
        <f>K257</f>
        <v>2</v>
      </c>
      <c r="L258" s="64">
        <f>L257</f>
        <v>4</v>
      </c>
      <c r="M258" s="160">
        <f>M257</f>
        <v>6</v>
      </c>
      <c r="N258" s="65">
        <v>12</v>
      </c>
      <c r="O258" s="109">
        <f>J258*K258*L258*M258*N258</f>
        <v>1152</v>
      </c>
      <c r="T258" s="66"/>
      <c r="U258" s="66"/>
    </row>
    <row r="259" spans="1:21" s="144" customFormat="1">
      <c r="A259" s="55"/>
      <c r="B259" s="56"/>
      <c r="C259" s="57"/>
      <c r="D259" s="57"/>
      <c r="E259" s="94"/>
      <c r="F259" s="79"/>
      <c r="G259" s="61"/>
      <c r="H259" s="61"/>
      <c r="I259" s="63"/>
      <c r="J259" s="143"/>
      <c r="T259" s="145"/>
      <c r="U259" s="145"/>
    </row>
    <row r="260" spans="1:21">
      <c r="A260" s="11" t="s">
        <v>516</v>
      </c>
      <c r="B260" s="11"/>
      <c r="C260" s="11"/>
      <c r="D260" s="11"/>
      <c r="E260" s="11"/>
      <c r="F260" s="11"/>
      <c r="G260" s="11"/>
      <c r="H260" s="161">
        <f>H254+H236+H215+H184+H156+H66+H6+H256</f>
        <v>104757720.42776006</v>
      </c>
    </row>
    <row r="261" spans="1:21">
      <c r="A261" s="10" t="s">
        <v>517</v>
      </c>
      <c r="B261" s="10"/>
      <c r="C261" s="10"/>
      <c r="D261" s="10"/>
      <c r="E261" s="10"/>
      <c r="F261" s="10"/>
      <c r="G261" s="10"/>
      <c r="H261" s="161">
        <f>H260*23.54%</f>
        <v>24659967.388694718</v>
      </c>
    </row>
    <row r="262" spans="1:21" hidden="1">
      <c r="G262" s="162">
        <v>99900700.374558493</v>
      </c>
      <c r="H262" s="162">
        <f>H260*1.5%</f>
        <v>1571365.8064164009</v>
      </c>
    </row>
    <row r="263" spans="1:21" hidden="1">
      <c r="H263" s="162">
        <f>H260-H262</f>
        <v>103186354.62134366</v>
      </c>
    </row>
    <row r="264" spans="1:21" hidden="1">
      <c r="H264" s="162">
        <f>H263*0.5</f>
        <v>51593177.310671829</v>
      </c>
    </row>
    <row r="265" spans="1:21" hidden="1">
      <c r="G265" s="163"/>
      <c r="H265" s="164" t="s">
        <v>518</v>
      </c>
      <c r="I265" s="165" t="s">
        <v>519</v>
      </c>
      <c r="J265" s="166"/>
      <c r="K265" s="167"/>
      <c r="L265" s="167"/>
    </row>
    <row r="266" spans="1:21" hidden="1">
      <c r="G266" s="163" t="s">
        <v>520</v>
      </c>
      <c r="H266" s="163" t="s">
        <v>521</v>
      </c>
      <c r="I266" s="168">
        <v>42609.63</v>
      </c>
      <c r="J266" s="166">
        <v>176</v>
      </c>
      <c r="K266" s="169">
        <f>I266/J266</f>
        <v>242.10017045454543</v>
      </c>
      <c r="L266" s="170">
        <f>O257*K266</f>
        <v>278899.39636363636</v>
      </c>
    </row>
    <row r="267" spans="1:21" hidden="1">
      <c r="B267" s="18">
        <v>1</v>
      </c>
      <c r="C267" s="16" t="str">
        <f t="shared" ref="C267:C273" si="12">VLOOKUP(B267,$A$6:$H$259,3,)</f>
        <v>PROJETO DE ARQUITETURA E URBANISMO</v>
      </c>
      <c r="D267" s="171">
        <f t="shared" ref="D267:D273" si="13">VLOOKUP(B267,$A$6:$H$259,8,)</f>
        <v>23597000</v>
      </c>
      <c r="G267" s="163" t="s">
        <v>522</v>
      </c>
      <c r="H267" s="163" t="s">
        <v>523</v>
      </c>
      <c r="I267" s="168">
        <v>31368.04</v>
      </c>
      <c r="J267" s="166">
        <v>176</v>
      </c>
      <c r="K267" s="169">
        <f>I267/J267</f>
        <v>178.22749999999999</v>
      </c>
      <c r="L267" s="170">
        <f>O258*K267</f>
        <v>205318.08</v>
      </c>
    </row>
    <row r="268" spans="1:21" hidden="1">
      <c r="B268" s="18">
        <v>2</v>
      </c>
      <c r="C268" s="16" t="str">
        <f t="shared" si="12"/>
        <v>PROJETOS EXECUTIVOS DE ENGENHARIA</v>
      </c>
      <c r="D268" s="171">
        <f t="shared" si="13"/>
        <v>20362667.5</v>
      </c>
      <c r="G268" s="163"/>
      <c r="H268" s="163" t="s">
        <v>524</v>
      </c>
      <c r="I268" s="167"/>
      <c r="J268" s="166"/>
      <c r="K268" s="172">
        <f>SUM(K266:K267)*0.4478</f>
        <v>188.22273082954544</v>
      </c>
      <c r="L268" s="172">
        <f>SUM(L266:L267)*0.4478</f>
        <v>216832.58591563633</v>
      </c>
    </row>
    <row r="269" spans="1:21" hidden="1">
      <c r="B269" s="18">
        <v>3</v>
      </c>
      <c r="C269" s="16" t="str">
        <f t="shared" si="12"/>
        <v>PROJETOS DE INFRAESTRUTURA</v>
      </c>
      <c r="D269" s="171">
        <f t="shared" si="13"/>
        <v>24506993.633218713</v>
      </c>
      <c r="G269" s="163"/>
      <c r="H269" s="163"/>
      <c r="I269" s="167"/>
      <c r="J269" s="166"/>
      <c r="K269" s="172">
        <f>SUM(K266:K268)</f>
        <v>608.55040128409087</v>
      </c>
      <c r="L269" s="172">
        <f>SUM(L266:L268)</f>
        <v>701050.06227927259</v>
      </c>
    </row>
    <row r="270" spans="1:21" hidden="1">
      <c r="B270" s="18">
        <v>4</v>
      </c>
      <c r="C270" s="16" t="str">
        <f t="shared" si="12"/>
        <v>Serviços Geotécnicos e Geológicos</v>
      </c>
      <c r="D270" s="171">
        <f t="shared" si="13"/>
        <v>9582456</v>
      </c>
      <c r="G270" s="163"/>
      <c r="H270" s="173" t="s">
        <v>525</v>
      </c>
      <c r="I270" s="174">
        <v>15000</v>
      </c>
      <c r="J270" s="166">
        <v>12</v>
      </c>
      <c r="K270" s="169">
        <f>I270/J270</f>
        <v>1250</v>
      </c>
      <c r="L270" s="170">
        <f>K270*SUM(M257:M258)*N258</f>
        <v>180000</v>
      </c>
    </row>
    <row r="271" spans="1:21" hidden="1">
      <c r="B271" s="18">
        <v>5</v>
      </c>
      <c r="C271" s="16" t="str">
        <f t="shared" si="12"/>
        <v>Topografia</v>
      </c>
      <c r="D271" s="171">
        <f t="shared" si="13"/>
        <v>6348782</v>
      </c>
      <c r="H271" s="21"/>
      <c r="I271" s="21"/>
      <c r="J271" s="21"/>
    </row>
    <row r="272" spans="1:21" hidden="1">
      <c r="B272" s="18">
        <v>6</v>
      </c>
      <c r="C272" s="16" t="str">
        <f t="shared" si="12"/>
        <v>Orçamento</v>
      </c>
      <c r="D272" s="171">
        <f t="shared" si="13"/>
        <v>8687722</v>
      </c>
    </row>
    <row r="273" spans="2:4" hidden="1">
      <c r="B273" s="18">
        <v>7</v>
      </c>
      <c r="C273" s="16" t="str">
        <f t="shared" si="12"/>
        <v>Compatibilização de Projetos</v>
      </c>
      <c r="D273" s="171">
        <f t="shared" si="13"/>
        <v>10269999.169982806</v>
      </c>
    </row>
    <row r="274" spans="2:4" hidden="1">
      <c r="D274" s="175">
        <f>SUM(D267:D273)</f>
        <v>103355620.30320151</v>
      </c>
    </row>
    <row r="275" spans="2:4" hidden="1">
      <c r="D275" s="176">
        <v>83450652.200000003</v>
      </c>
    </row>
    <row r="276" spans="2:4" hidden="1">
      <c r="D276" s="177">
        <f>D274-D275</f>
        <v>19904968.103201509</v>
      </c>
    </row>
    <row r="277" spans="2:4" ht="15" hidden="1" customHeight="1"/>
    <row r="278" spans="2:4" ht="15" hidden="1" customHeight="1"/>
    <row r="279" spans="2:4" ht="15" hidden="1" customHeight="1"/>
    <row r="280" spans="2:4" ht="15" hidden="1" customHeight="1"/>
    <row r="281" spans="2:4" ht="15" hidden="1" customHeight="1"/>
    <row r="282" spans="2:4" ht="15" hidden="1" customHeight="1"/>
    <row r="283" spans="2:4" ht="15" hidden="1" customHeight="1"/>
    <row r="284" spans="2:4" ht="15" hidden="1" customHeight="1"/>
    <row r="285" spans="2:4" ht="15" hidden="1" customHeight="1"/>
  </sheetData>
  <autoFilter ref="A5:I276" xr:uid="{00000000-0009-0000-0000-000000000000}"/>
  <mergeCells count="5">
    <mergeCell ref="C2:I2"/>
    <mergeCell ref="C3:I3"/>
    <mergeCell ref="I72:I75"/>
    <mergeCell ref="A260:G260"/>
    <mergeCell ref="A261:G261"/>
  </mergeCells>
  <hyperlinks>
    <hyperlink ref="F4" r:id="rId1" xr:uid="{00000000-0004-0000-0000-000000000000}"/>
    <hyperlink ref="G4" r:id="rId2" xr:uid="{00000000-0004-0000-0000-000001000000}"/>
  </hyperlinks>
  <pageMargins left="0.51180555555555596" right="0.51180555555555596" top="0.78749999999999998" bottom="0.78749999999999998" header="0.511811023622047" footer="0.511811023622047"/>
  <pageSetup paperSize="9" scale="44" fitToHeight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0"/>
  <sheetViews>
    <sheetView view="pageBreakPreview" topLeftCell="A142" zoomScale="65" zoomScaleNormal="85" zoomScalePageLayoutView="65" workbookViewId="0">
      <selection activeCell="D161" sqref="D161"/>
    </sheetView>
  </sheetViews>
  <sheetFormatPr defaultColWidth="10.42578125" defaultRowHeight="15" customHeight="1"/>
  <cols>
    <col min="1" max="1" width="5.140625" style="14" customWidth="1"/>
    <col min="2" max="2" width="10.7109375" style="15" customWidth="1"/>
    <col min="3" max="3" width="81.7109375" style="16" customWidth="1"/>
    <col min="4" max="4" width="13.7109375" style="17" customWidth="1"/>
    <col min="5" max="5" width="10.7109375" style="18" customWidth="1"/>
    <col min="6" max="6" width="15.5703125" style="19" customWidth="1"/>
    <col min="7" max="7" width="63" style="17" customWidth="1"/>
    <col min="8" max="17" width="10.42578125" style="21"/>
    <col min="18" max="19" width="11.5703125" style="21" hidden="1" customWidth="1"/>
    <col min="20" max="16384" width="10.42578125" style="21"/>
  </cols>
  <sheetData>
    <row r="1" spans="1:19" s="29" customFormat="1" ht="12.75" customHeight="1">
      <c r="A1" s="22"/>
      <c r="B1" s="23"/>
      <c r="C1" s="24"/>
      <c r="D1" s="25"/>
      <c r="E1" s="26"/>
      <c r="F1" s="27"/>
      <c r="G1" s="25"/>
    </row>
    <row r="2" spans="1:19" s="29" customFormat="1" ht="15" customHeight="1">
      <c r="A2" s="30"/>
      <c r="B2" s="23"/>
      <c r="C2" s="13" t="s">
        <v>526</v>
      </c>
      <c r="D2" s="13"/>
      <c r="E2" s="13"/>
      <c r="F2" s="13"/>
      <c r="G2" s="13"/>
    </row>
    <row r="3" spans="1:19" s="34" customFormat="1" ht="12.75" customHeight="1">
      <c r="A3" s="32"/>
      <c r="B3" s="23"/>
      <c r="C3" s="13" t="s">
        <v>527</v>
      </c>
      <c r="D3" s="13"/>
      <c r="E3" s="13"/>
      <c r="F3" s="13"/>
      <c r="G3" s="13"/>
    </row>
    <row r="4" spans="1:19" s="29" customFormat="1" ht="12.75" customHeight="1">
      <c r="A4" s="30"/>
      <c r="B4" s="23"/>
      <c r="C4" s="31"/>
      <c r="D4" s="178"/>
      <c r="E4" s="179"/>
      <c r="F4" s="180"/>
      <c r="G4" s="178"/>
    </row>
    <row r="5" spans="1:19" s="29" customFormat="1" ht="12" customHeight="1">
      <c r="A5" s="30"/>
      <c r="B5" s="23"/>
      <c r="C5" s="181" t="s">
        <v>528</v>
      </c>
      <c r="D5" s="182"/>
      <c r="E5" s="9"/>
      <c r="F5" s="9"/>
      <c r="G5" s="183"/>
    </row>
    <row r="6" spans="1:19" s="29" customFormat="1" ht="12.75">
      <c r="A6" s="30"/>
      <c r="B6" s="23"/>
      <c r="C6" s="184" t="s">
        <v>529</v>
      </c>
      <c r="D6" s="185"/>
      <c r="E6" s="8"/>
      <c r="F6" s="8"/>
      <c r="G6" s="186"/>
    </row>
    <row r="7" spans="1:19" s="29" customFormat="1" ht="12.75">
      <c r="A7" s="30"/>
      <c r="B7" s="23"/>
      <c r="C7" s="35"/>
      <c r="D7" s="36"/>
      <c r="E7" s="187"/>
      <c r="F7" s="188"/>
      <c r="G7" s="36"/>
    </row>
    <row r="8" spans="1:19" s="65" customFormat="1" ht="38.25">
      <c r="A8" s="189" t="s">
        <v>3</v>
      </c>
      <c r="B8" s="190" t="s">
        <v>4</v>
      </c>
      <c r="C8" s="191" t="s">
        <v>5</v>
      </c>
      <c r="D8" s="192" t="s">
        <v>7</v>
      </c>
      <c r="E8" s="191" t="s">
        <v>8</v>
      </c>
      <c r="F8" s="193" t="s">
        <v>530</v>
      </c>
      <c r="G8" s="192" t="s">
        <v>11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19" s="65" customFormat="1" ht="15" customHeight="1">
      <c r="A9" s="194">
        <v>1</v>
      </c>
      <c r="B9" s="195"/>
      <c r="C9" s="196" t="s">
        <v>15</v>
      </c>
      <c r="D9" s="197"/>
      <c r="E9" s="198"/>
      <c r="F9" s="199"/>
      <c r="G9" s="197"/>
      <c r="R9" s="66"/>
      <c r="S9" s="66"/>
    </row>
    <row r="10" spans="1:19" s="65" customFormat="1">
      <c r="A10" s="55"/>
      <c r="B10" s="56" t="s">
        <v>14</v>
      </c>
      <c r="C10" s="57" t="s">
        <v>15</v>
      </c>
      <c r="D10" s="59">
        <v>1891.73</v>
      </c>
      <c r="E10" s="60" t="s">
        <v>16</v>
      </c>
      <c r="F10" s="61"/>
      <c r="G10" s="63"/>
      <c r="R10" s="66" t="e">
        <f>#VALUE!</f>
        <v>#VALUE!</v>
      </c>
      <c r="S10" s="66">
        <v>0</v>
      </c>
    </row>
    <row r="11" spans="1:19" s="65" customFormat="1" ht="15" customHeight="1">
      <c r="A11" s="194">
        <v>2</v>
      </c>
      <c r="B11" s="195"/>
      <c r="C11" s="196" t="s">
        <v>531</v>
      </c>
      <c r="D11" s="197"/>
      <c r="E11" s="198"/>
      <c r="F11" s="199"/>
      <c r="G11" s="200"/>
      <c r="R11" s="66"/>
      <c r="S11" s="66"/>
    </row>
    <row r="12" spans="1:19" s="65" customFormat="1" ht="15" customHeight="1">
      <c r="A12" s="55"/>
      <c r="B12" s="132" t="s">
        <v>127</v>
      </c>
      <c r="C12" s="133" t="s">
        <v>532</v>
      </c>
      <c r="D12" s="94"/>
      <c r="E12" s="79"/>
      <c r="F12" s="61"/>
      <c r="G12" s="201"/>
      <c r="R12" s="66" t="e">
        <f>#VALUE!</f>
        <v>#VALUE!</v>
      </c>
      <c r="S12" s="66">
        <v>0</v>
      </c>
    </row>
    <row r="13" spans="1:19" s="65" customFormat="1" ht="15" customHeight="1">
      <c r="A13" s="55"/>
      <c r="B13" s="56" t="s">
        <v>533</v>
      </c>
      <c r="C13" s="57" t="s">
        <v>534</v>
      </c>
      <c r="D13" s="59">
        <v>68</v>
      </c>
      <c r="E13" s="60" t="s">
        <v>334</v>
      </c>
      <c r="F13" s="61"/>
      <c r="G13" s="63"/>
      <c r="R13" s="66"/>
      <c r="S13" s="66"/>
    </row>
    <row r="14" spans="1:19" s="65" customFormat="1" ht="15" customHeight="1">
      <c r="A14" s="55"/>
      <c r="B14" s="56" t="s">
        <v>535</v>
      </c>
      <c r="C14" s="57" t="s">
        <v>536</v>
      </c>
      <c r="D14" s="59">
        <v>800</v>
      </c>
      <c r="E14" s="60" t="s">
        <v>16</v>
      </c>
      <c r="F14" s="61"/>
      <c r="G14" s="63"/>
      <c r="R14" s="66" t="e">
        <f>#VALUE!</f>
        <v>#VALUE!</v>
      </c>
      <c r="S14" s="66">
        <v>0</v>
      </c>
    </row>
    <row r="15" spans="1:19" s="65" customFormat="1" ht="15" customHeight="1">
      <c r="A15" s="55"/>
      <c r="B15" s="56" t="s">
        <v>537</v>
      </c>
      <c r="C15" s="57" t="s">
        <v>538</v>
      </c>
      <c r="D15" s="59">
        <v>29</v>
      </c>
      <c r="E15" s="60" t="s">
        <v>337</v>
      </c>
      <c r="F15" s="61"/>
      <c r="G15" s="63"/>
      <c r="R15" s="66" t="e">
        <f>#VALUE!</f>
        <v>#VALUE!</v>
      </c>
      <c r="S15" s="66">
        <v>0</v>
      </c>
    </row>
    <row r="16" spans="1:19" s="65" customFormat="1" ht="15" customHeight="1">
      <c r="A16" s="55"/>
      <c r="B16" s="132" t="s">
        <v>130</v>
      </c>
      <c r="C16" s="133" t="s">
        <v>539</v>
      </c>
      <c r="D16" s="94"/>
      <c r="E16" s="60"/>
      <c r="F16" s="61"/>
      <c r="G16" s="201"/>
      <c r="R16" s="66" t="e">
        <f>#VALUE!</f>
        <v>#VALUE!</v>
      </c>
      <c r="S16" s="66">
        <v>0</v>
      </c>
    </row>
    <row r="17" spans="1:19" s="65" customFormat="1" ht="15" customHeight="1">
      <c r="A17" s="55"/>
      <c r="B17" s="56" t="s">
        <v>540</v>
      </c>
      <c r="C17" s="57" t="s">
        <v>541</v>
      </c>
      <c r="D17" s="59">
        <v>500</v>
      </c>
      <c r="E17" s="60" t="s">
        <v>542</v>
      </c>
      <c r="F17" s="61"/>
      <c r="G17" s="63"/>
      <c r="R17" s="66" t="e">
        <f>#VALUE!</f>
        <v>#VALUE!</v>
      </c>
      <c r="S17" s="66">
        <v>0</v>
      </c>
    </row>
    <row r="18" spans="1:19" s="65" customFormat="1" ht="15" customHeight="1">
      <c r="A18" s="55"/>
      <c r="B18" s="56" t="s">
        <v>543</v>
      </c>
      <c r="C18" s="57" t="s">
        <v>536</v>
      </c>
      <c r="D18" s="59">
        <v>8.1999999999999993</v>
      </c>
      <c r="E18" s="60" t="s">
        <v>337</v>
      </c>
      <c r="F18" s="61"/>
      <c r="G18" s="63"/>
      <c r="R18" s="66" t="e">
        <f>#VALUE!</f>
        <v>#VALUE!</v>
      </c>
      <c r="S18" s="66">
        <v>0</v>
      </c>
    </row>
    <row r="19" spans="1:19" s="65" customFormat="1" ht="43.5" customHeight="1">
      <c r="A19" s="194">
        <v>3</v>
      </c>
      <c r="B19" s="195"/>
      <c r="C19" s="202" t="s">
        <v>544</v>
      </c>
      <c r="D19" s="197"/>
      <c r="E19" s="198"/>
      <c r="F19" s="199"/>
      <c r="G19" s="200" t="s">
        <v>545</v>
      </c>
      <c r="R19" s="66"/>
      <c r="S19" s="66"/>
    </row>
    <row r="20" spans="1:19" s="65" customFormat="1" ht="173.25" customHeight="1">
      <c r="A20" s="55"/>
      <c r="B20" s="56" t="s">
        <v>546</v>
      </c>
      <c r="C20" s="203" t="s">
        <v>547</v>
      </c>
      <c r="D20" s="94">
        <v>1819.21</v>
      </c>
      <c r="E20" s="79" t="s">
        <v>16</v>
      </c>
      <c r="F20" s="61"/>
      <c r="G20" s="7"/>
      <c r="J20" s="204"/>
      <c r="R20" s="66" t="e">
        <f>#VALUE!</f>
        <v>#VALUE!</v>
      </c>
      <c r="S20" s="66">
        <v>0</v>
      </c>
    </row>
    <row r="21" spans="1:19" s="65" customFormat="1" ht="156" customHeight="1">
      <c r="A21" s="55"/>
      <c r="B21" s="56" t="s">
        <v>548</v>
      </c>
      <c r="C21" s="203" t="s">
        <v>549</v>
      </c>
      <c r="D21" s="94">
        <v>0.47</v>
      </c>
      <c r="E21" s="79" t="s">
        <v>21</v>
      </c>
      <c r="F21" s="61"/>
      <c r="G21" s="7"/>
      <c r="R21" s="66" t="e">
        <f>#VALUE!</f>
        <v>#VALUE!</v>
      </c>
      <c r="S21" s="66">
        <v>0</v>
      </c>
    </row>
    <row r="22" spans="1:19" s="65" customFormat="1" ht="134.25" customHeight="1">
      <c r="A22" s="55"/>
      <c r="B22" s="56" t="s">
        <v>550</v>
      </c>
      <c r="C22" s="203" t="s">
        <v>551</v>
      </c>
      <c r="D22" s="94">
        <v>0.31</v>
      </c>
      <c r="E22" s="79" t="s">
        <v>21</v>
      </c>
      <c r="F22" s="61"/>
      <c r="G22" s="7"/>
      <c r="R22" s="66"/>
      <c r="S22" s="66"/>
    </row>
    <row r="23" spans="1:19" s="65" customFormat="1" ht="15" customHeight="1">
      <c r="A23" s="194">
        <v>4</v>
      </c>
      <c r="B23" s="195"/>
      <c r="C23" s="196" t="s">
        <v>552</v>
      </c>
      <c r="D23" s="197"/>
      <c r="E23" s="198"/>
      <c r="F23" s="199"/>
      <c r="G23" s="200"/>
      <c r="R23" s="66"/>
      <c r="S23" s="66"/>
    </row>
    <row r="24" spans="1:19" s="65" customFormat="1" ht="15" customHeight="1">
      <c r="A24" s="55"/>
      <c r="B24" s="132" t="s">
        <v>341</v>
      </c>
      <c r="C24" s="133" t="s">
        <v>553</v>
      </c>
      <c r="D24" s="94"/>
      <c r="E24" s="79"/>
      <c r="F24" s="61"/>
      <c r="G24" s="201"/>
      <c r="R24" s="66" t="e">
        <f>#VALUE!</f>
        <v>#VALUE!</v>
      </c>
      <c r="S24" s="66">
        <v>0</v>
      </c>
    </row>
    <row r="25" spans="1:19" s="65" customFormat="1" ht="15" customHeight="1">
      <c r="A25" s="55"/>
      <c r="B25" s="205" t="s">
        <v>554</v>
      </c>
      <c r="C25" s="57" t="s">
        <v>555</v>
      </c>
      <c r="D25" s="94">
        <v>41.78</v>
      </c>
      <c r="E25" s="60" t="s">
        <v>21</v>
      </c>
      <c r="F25" s="61"/>
      <c r="G25" s="201"/>
      <c r="R25" s="66" t="e">
        <f>#REF!</f>
        <v>#REF!</v>
      </c>
      <c r="S25" s="66">
        <v>0</v>
      </c>
    </row>
    <row r="26" spans="1:19" s="65" customFormat="1" ht="15" customHeight="1">
      <c r="A26" s="55"/>
      <c r="B26" s="206" t="s">
        <v>556</v>
      </c>
      <c r="C26" s="57" t="s">
        <v>557</v>
      </c>
      <c r="D26" s="94">
        <v>32.65</v>
      </c>
      <c r="E26" s="60" t="s">
        <v>21</v>
      </c>
      <c r="F26" s="61"/>
      <c r="G26" s="201"/>
      <c r="R26" s="66" t="e">
        <f>#REF!</f>
        <v>#REF!</v>
      </c>
      <c r="S26" s="66">
        <v>0</v>
      </c>
    </row>
    <row r="27" spans="1:19" s="65" customFormat="1" ht="60">
      <c r="A27" s="55"/>
      <c r="B27" s="132" t="s">
        <v>358</v>
      </c>
      <c r="C27" s="157" t="s">
        <v>558</v>
      </c>
      <c r="D27" s="134"/>
      <c r="E27" s="135"/>
      <c r="F27" s="207"/>
      <c r="G27" s="159" t="s">
        <v>559</v>
      </c>
      <c r="R27" s="66" t="e">
        <f>#VALUE!</f>
        <v>#VALUE!</v>
      </c>
      <c r="S27" s="66">
        <v>0</v>
      </c>
    </row>
    <row r="28" spans="1:19" s="65" customFormat="1" ht="15" customHeight="1">
      <c r="A28" s="55"/>
      <c r="B28" s="205" t="s">
        <v>560</v>
      </c>
      <c r="C28" s="57" t="s">
        <v>561</v>
      </c>
      <c r="D28" s="94"/>
      <c r="E28" s="60" t="s">
        <v>506</v>
      </c>
      <c r="F28" s="61">
        <v>0.1</v>
      </c>
      <c r="G28" s="201" t="s">
        <v>562</v>
      </c>
      <c r="R28" s="66" t="e">
        <f>#VALUE!</f>
        <v>#VALUE!</v>
      </c>
      <c r="S28" s="66">
        <v>0</v>
      </c>
    </row>
    <row r="29" spans="1:19" s="65" customFormat="1" ht="15" customHeight="1">
      <c r="A29" s="55"/>
      <c r="B29" s="205" t="s">
        <v>563</v>
      </c>
      <c r="C29" s="57" t="s">
        <v>564</v>
      </c>
      <c r="D29" s="94"/>
      <c r="E29" s="60" t="s">
        <v>506</v>
      </c>
      <c r="F29" s="61">
        <v>0.3</v>
      </c>
      <c r="G29" s="201" t="s">
        <v>565</v>
      </c>
      <c r="R29" s="66" t="e">
        <f>#VALUE!</f>
        <v>#VALUE!</v>
      </c>
      <c r="S29" s="66">
        <v>0</v>
      </c>
    </row>
    <row r="30" spans="1:19" s="65" customFormat="1" ht="15" customHeight="1">
      <c r="A30" s="55"/>
      <c r="B30" s="205" t="s">
        <v>566</v>
      </c>
      <c r="C30" s="57" t="s">
        <v>567</v>
      </c>
      <c r="D30" s="94"/>
      <c r="E30" s="60" t="s">
        <v>506</v>
      </c>
      <c r="F30" s="61">
        <v>0.25</v>
      </c>
      <c r="G30" s="201" t="s">
        <v>568</v>
      </c>
      <c r="R30" s="66" t="e">
        <f>#VALUE!</f>
        <v>#VALUE!</v>
      </c>
      <c r="S30" s="66">
        <v>0</v>
      </c>
    </row>
    <row r="31" spans="1:19" s="65" customFormat="1" ht="15" customHeight="1">
      <c r="A31" s="55"/>
      <c r="B31" s="205" t="s">
        <v>569</v>
      </c>
      <c r="C31" s="57" t="s">
        <v>570</v>
      </c>
      <c r="D31" s="94"/>
      <c r="E31" s="60" t="s">
        <v>506</v>
      </c>
      <c r="F31" s="61">
        <v>0.1</v>
      </c>
      <c r="G31" s="201" t="s">
        <v>562</v>
      </c>
      <c r="R31" s="66" t="e">
        <f>#VALUE!</f>
        <v>#VALUE!</v>
      </c>
      <c r="S31" s="66">
        <v>0</v>
      </c>
    </row>
    <row r="32" spans="1:19" s="65" customFormat="1" ht="15" customHeight="1">
      <c r="A32" s="55"/>
      <c r="B32" s="205" t="s">
        <v>571</v>
      </c>
      <c r="C32" s="57" t="s">
        <v>572</v>
      </c>
      <c r="D32" s="94"/>
      <c r="E32" s="60" t="s">
        <v>506</v>
      </c>
      <c r="F32" s="61">
        <v>0.15</v>
      </c>
      <c r="G32" s="201" t="s">
        <v>573</v>
      </c>
      <c r="R32" s="66" t="e">
        <f>#VALUE!</f>
        <v>#VALUE!</v>
      </c>
      <c r="S32" s="66">
        <v>0</v>
      </c>
    </row>
    <row r="33" spans="1:19" s="65" customFormat="1" ht="15" customHeight="1">
      <c r="A33" s="55"/>
      <c r="B33" s="205" t="s">
        <v>574</v>
      </c>
      <c r="C33" s="57" t="s">
        <v>575</v>
      </c>
      <c r="D33" s="94"/>
      <c r="E33" s="60" t="s">
        <v>506</v>
      </c>
      <c r="F33" s="61">
        <v>0.1</v>
      </c>
      <c r="G33" s="201" t="s">
        <v>562</v>
      </c>
      <c r="R33" s="66" t="e">
        <f>#VALUE!</f>
        <v>#VALUE!</v>
      </c>
      <c r="S33" s="66">
        <v>0</v>
      </c>
    </row>
    <row r="34" spans="1:19" s="65" customFormat="1" ht="30">
      <c r="A34" s="55"/>
      <c r="B34" s="208" t="s">
        <v>377</v>
      </c>
      <c r="C34" s="157" t="s">
        <v>576</v>
      </c>
      <c r="D34" s="59"/>
      <c r="E34" s="60"/>
      <c r="F34" s="61"/>
      <c r="G34" s="159" t="s">
        <v>577</v>
      </c>
      <c r="R34" s="66"/>
      <c r="S34" s="66"/>
    </row>
    <row r="35" spans="1:19" s="65" customFormat="1" ht="15" customHeight="1">
      <c r="A35" s="55"/>
      <c r="B35" s="205" t="s">
        <v>578</v>
      </c>
      <c r="C35" s="57" t="s">
        <v>579</v>
      </c>
      <c r="D35" s="94"/>
      <c r="E35" s="60" t="s">
        <v>506</v>
      </c>
      <c r="F35" s="61">
        <v>0.1</v>
      </c>
      <c r="G35" s="201" t="s">
        <v>562</v>
      </c>
      <c r="R35" s="66" t="e">
        <f>#VALUE!</f>
        <v>#VALUE!</v>
      </c>
      <c r="S35" s="66">
        <v>0</v>
      </c>
    </row>
    <row r="36" spans="1:19" s="65" customFormat="1" ht="15" customHeight="1">
      <c r="A36" s="55"/>
      <c r="B36" s="205" t="s">
        <v>580</v>
      </c>
      <c r="C36" s="57" t="s">
        <v>581</v>
      </c>
      <c r="D36" s="94"/>
      <c r="E36" s="60" t="s">
        <v>506</v>
      </c>
      <c r="F36" s="61">
        <v>0.15</v>
      </c>
      <c r="G36" s="201" t="s">
        <v>573</v>
      </c>
      <c r="R36" s="66" t="e">
        <f>#VALUE!</f>
        <v>#VALUE!</v>
      </c>
      <c r="S36" s="66">
        <v>0</v>
      </c>
    </row>
    <row r="37" spans="1:19" s="65" customFormat="1" ht="15" customHeight="1">
      <c r="A37" s="55"/>
      <c r="B37" s="206" t="s">
        <v>582</v>
      </c>
      <c r="C37" s="57" t="s">
        <v>575</v>
      </c>
      <c r="D37" s="94"/>
      <c r="E37" s="60" t="s">
        <v>506</v>
      </c>
      <c r="F37" s="61">
        <v>0.05</v>
      </c>
      <c r="G37" s="201" t="s">
        <v>583</v>
      </c>
      <c r="R37" s="66" t="e">
        <f>#VALUE!</f>
        <v>#VALUE!</v>
      </c>
      <c r="S37" s="66">
        <v>0</v>
      </c>
    </row>
    <row r="38" spans="1:19" s="65" customFormat="1" ht="15" customHeight="1">
      <c r="A38" s="55"/>
      <c r="B38" s="206" t="s">
        <v>584</v>
      </c>
      <c r="C38" s="57" t="s">
        <v>585</v>
      </c>
      <c r="D38" s="94"/>
      <c r="E38" s="60" t="s">
        <v>506</v>
      </c>
      <c r="F38" s="61">
        <v>0.05</v>
      </c>
      <c r="G38" s="201" t="s">
        <v>583</v>
      </c>
      <c r="R38" s="66" t="e">
        <f>#VALUE!</f>
        <v>#VALUE!</v>
      </c>
      <c r="S38" s="66">
        <v>0</v>
      </c>
    </row>
    <row r="39" spans="1:19" s="65" customFormat="1" ht="15" customHeight="1">
      <c r="A39" s="55"/>
      <c r="B39" s="206" t="s">
        <v>586</v>
      </c>
      <c r="C39" s="57" t="s">
        <v>587</v>
      </c>
      <c r="D39" s="94"/>
      <c r="E39" s="60" t="s">
        <v>506</v>
      </c>
      <c r="F39" s="61">
        <v>0.05</v>
      </c>
      <c r="G39" s="201" t="s">
        <v>583</v>
      </c>
      <c r="R39" s="66" t="e">
        <f>#VALUE!</f>
        <v>#VALUE!</v>
      </c>
      <c r="S39" s="66">
        <v>0</v>
      </c>
    </row>
    <row r="40" spans="1:19" s="65" customFormat="1" ht="32.25" customHeight="1">
      <c r="A40" s="55"/>
      <c r="B40" s="156" t="s">
        <v>395</v>
      </c>
      <c r="C40" s="157" t="s">
        <v>588</v>
      </c>
      <c r="D40" s="94"/>
      <c r="E40" s="79"/>
      <c r="F40" s="61"/>
      <c r="G40" s="159" t="s">
        <v>589</v>
      </c>
      <c r="R40" s="66" t="e">
        <f>#VALUE!</f>
        <v>#VALUE!</v>
      </c>
      <c r="S40" s="66">
        <v>0</v>
      </c>
    </row>
    <row r="41" spans="1:19" s="65" customFormat="1" ht="15" customHeight="1">
      <c r="A41" s="55"/>
      <c r="B41" s="206" t="s">
        <v>590</v>
      </c>
      <c r="C41" s="57" t="s">
        <v>591</v>
      </c>
      <c r="D41" s="94"/>
      <c r="E41" s="60" t="s">
        <v>506</v>
      </c>
      <c r="F41" s="61">
        <v>0.5</v>
      </c>
      <c r="G41" s="201"/>
      <c r="R41" s="66" t="e">
        <f>#VALUE!</f>
        <v>#VALUE!</v>
      </c>
      <c r="S41" s="66">
        <v>0</v>
      </c>
    </row>
    <row r="42" spans="1:19" s="65" customFormat="1" ht="15" customHeight="1">
      <c r="A42" s="55"/>
      <c r="B42" s="206" t="s">
        <v>592</v>
      </c>
      <c r="C42" s="57" t="s">
        <v>593</v>
      </c>
      <c r="D42" s="94"/>
      <c r="E42" s="60" t="s">
        <v>506</v>
      </c>
      <c r="F42" s="61">
        <v>1.1499999999999999</v>
      </c>
      <c r="G42" s="201"/>
      <c r="R42" s="66" t="e">
        <f>#VALUE!</f>
        <v>#VALUE!</v>
      </c>
      <c r="S42" s="66">
        <v>0</v>
      </c>
    </row>
    <row r="43" spans="1:19" s="65" customFormat="1" ht="15" customHeight="1">
      <c r="A43" s="55"/>
      <c r="B43" s="206" t="s">
        <v>594</v>
      </c>
      <c r="C43" s="57" t="s">
        <v>595</v>
      </c>
      <c r="D43" s="94"/>
      <c r="E43" s="60" t="s">
        <v>506</v>
      </c>
      <c r="F43" s="61">
        <v>1.5</v>
      </c>
      <c r="G43" s="201"/>
      <c r="R43" s="66" t="e">
        <f>#VALUE!</f>
        <v>#VALUE!</v>
      </c>
      <c r="S43" s="66">
        <v>0</v>
      </c>
    </row>
    <row r="44" spans="1:19" s="65" customFormat="1" ht="15" customHeight="1">
      <c r="A44" s="55"/>
      <c r="B44" s="206" t="s">
        <v>596</v>
      </c>
      <c r="C44" s="57" t="s">
        <v>597</v>
      </c>
      <c r="D44" s="94"/>
      <c r="E44" s="60" t="s">
        <v>506</v>
      </c>
      <c r="F44" s="61">
        <v>2</v>
      </c>
      <c r="G44" s="201"/>
      <c r="R44" s="66" t="e">
        <f>#VALUE!</f>
        <v>#VALUE!</v>
      </c>
      <c r="S44" s="66">
        <v>0</v>
      </c>
    </row>
    <row r="45" spans="1:19" s="65" customFormat="1" ht="29.25" customHeight="1">
      <c r="A45" s="55"/>
      <c r="B45" s="156" t="s">
        <v>504</v>
      </c>
      <c r="C45" s="157" t="s">
        <v>505</v>
      </c>
      <c r="D45" s="94"/>
      <c r="E45" s="79" t="s">
        <v>506</v>
      </c>
      <c r="F45" s="61">
        <v>0.15</v>
      </c>
      <c r="G45" s="159" t="s">
        <v>598</v>
      </c>
      <c r="R45" s="66" t="e">
        <f>#VALUE!</f>
        <v>#VALUE!</v>
      </c>
      <c r="S45" s="66">
        <v>0</v>
      </c>
    </row>
    <row r="46" spans="1:19" s="65" customFormat="1" ht="15" customHeight="1">
      <c r="A46" s="194">
        <v>5</v>
      </c>
      <c r="B46" s="195"/>
      <c r="C46" s="196" t="s">
        <v>599</v>
      </c>
      <c r="D46" s="197"/>
      <c r="E46" s="198"/>
      <c r="F46" s="199"/>
      <c r="G46" s="200"/>
      <c r="R46" s="66"/>
      <c r="S46" s="66"/>
    </row>
    <row r="47" spans="1:19" s="65" customFormat="1" ht="15" customHeight="1">
      <c r="A47" s="55"/>
      <c r="B47" s="132" t="s">
        <v>600</v>
      </c>
      <c r="C47" s="133" t="s">
        <v>601</v>
      </c>
      <c r="D47" s="94"/>
      <c r="E47" s="79"/>
      <c r="F47" s="61"/>
      <c r="G47" s="201"/>
      <c r="R47" s="66" t="e">
        <f>#VALUE!</f>
        <v>#VALUE!</v>
      </c>
      <c r="S47" s="66">
        <v>0</v>
      </c>
    </row>
    <row r="48" spans="1:19" s="65" customFormat="1" ht="15" customHeight="1">
      <c r="A48" s="55"/>
      <c r="B48" s="56" t="s">
        <v>600</v>
      </c>
      <c r="C48" s="57" t="s">
        <v>602</v>
      </c>
      <c r="D48" s="59">
        <v>4.4800000000000004</v>
      </c>
      <c r="E48" s="60" t="s">
        <v>21</v>
      </c>
      <c r="F48" s="61"/>
      <c r="G48" s="63"/>
      <c r="R48" s="66" t="e">
        <f>#VALUE!</f>
        <v>#VALUE!</v>
      </c>
      <c r="S48" s="66">
        <v>0</v>
      </c>
    </row>
    <row r="49" spans="1:19" s="65" customFormat="1" ht="15" customHeight="1">
      <c r="A49" s="55"/>
      <c r="B49" s="132" t="s">
        <v>408</v>
      </c>
      <c r="C49" s="133" t="s">
        <v>603</v>
      </c>
      <c r="D49" s="59"/>
      <c r="E49" s="60"/>
      <c r="F49" s="61"/>
      <c r="G49" s="63"/>
      <c r="R49" s="66"/>
      <c r="S49" s="66"/>
    </row>
    <row r="50" spans="1:19" s="65" customFormat="1" ht="15" customHeight="1">
      <c r="A50" s="55"/>
      <c r="B50" s="56" t="s">
        <v>604</v>
      </c>
      <c r="C50" s="57" t="s">
        <v>605</v>
      </c>
      <c r="D50" s="59">
        <v>4.1500000000000004</v>
      </c>
      <c r="E50" s="60" t="s">
        <v>21</v>
      </c>
      <c r="F50" s="61"/>
      <c r="G50" s="63"/>
      <c r="R50" s="66" t="e">
        <f>#VALUE!</f>
        <v>#VALUE!</v>
      </c>
      <c r="S50" s="66">
        <v>0</v>
      </c>
    </row>
    <row r="51" spans="1:19" s="65" customFormat="1" ht="15" customHeight="1">
      <c r="A51" s="55"/>
      <c r="B51" s="56" t="s">
        <v>606</v>
      </c>
      <c r="C51" s="57" t="s">
        <v>607</v>
      </c>
      <c r="D51" s="59">
        <v>3.73</v>
      </c>
      <c r="E51" s="60" t="s">
        <v>21</v>
      </c>
      <c r="F51" s="61"/>
      <c r="G51" s="63"/>
      <c r="R51" s="66"/>
      <c r="S51" s="66"/>
    </row>
    <row r="52" spans="1:19" s="65" customFormat="1" ht="15" customHeight="1">
      <c r="A52" s="194">
        <v>6</v>
      </c>
      <c r="B52" s="195"/>
      <c r="C52" s="196" t="s">
        <v>608</v>
      </c>
      <c r="D52" s="197"/>
      <c r="E52" s="198"/>
      <c r="F52" s="199" t="s">
        <v>609</v>
      </c>
      <c r="G52" s="200"/>
      <c r="R52" s="66"/>
      <c r="S52" s="66"/>
    </row>
    <row r="53" spans="1:19" s="65" customFormat="1" ht="15" customHeight="1">
      <c r="A53" s="55"/>
      <c r="B53" s="132" t="s">
        <v>461</v>
      </c>
      <c r="C53" s="133" t="s">
        <v>610</v>
      </c>
      <c r="D53" s="59"/>
      <c r="E53" s="60"/>
      <c r="F53" s="61"/>
      <c r="G53" s="63"/>
      <c r="R53" s="66"/>
      <c r="S53" s="66"/>
    </row>
    <row r="54" spans="1:19" s="65" customFormat="1" ht="30">
      <c r="A54" s="55"/>
      <c r="B54" s="56" t="s">
        <v>611</v>
      </c>
      <c r="C54" s="57" t="s">
        <v>612</v>
      </c>
      <c r="D54" s="94">
        <v>9.35</v>
      </c>
      <c r="E54" s="79" t="s">
        <v>21</v>
      </c>
      <c r="F54" s="61"/>
      <c r="G54" s="201"/>
      <c r="R54" s="66"/>
      <c r="S54" s="66"/>
    </row>
    <row r="55" spans="1:19" s="65" customFormat="1" ht="15" customHeight="1">
      <c r="A55" s="55"/>
      <c r="B55" s="132" t="s">
        <v>464</v>
      </c>
      <c r="C55" s="133" t="s">
        <v>613</v>
      </c>
      <c r="D55" s="59"/>
      <c r="E55" s="60"/>
      <c r="F55" s="61"/>
      <c r="G55" s="63"/>
      <c r="R55" s="66" t="e">
        <f>#VALUE!</f>
        <v>#VALUE!</v>
      </c>
      <c r="S55" s="66">
        <v>0</v>
      </c>
    </row>
    <row r="56" spans="1:19" s="65" customFormat="1" ht="75">
      <c r="A56" s="55"/>
      <c r="B56" s="56" t="s">
        <v>614</v>
      </c>
      <c r="C56" s="203" t="s">
        <v>615</v>
      </c>
      <c r="D56" s="94">
        <v>15.75</v>
      </c>
      <c r="E56" s="79" t="s">
        <v>21</v>
      </c>
      <c r="F56" s="61"/>
      <c r="G56" s="201"/>
      <c r="R56" s="66" t="e">
        <f>#VALUE!</f>
        <v>#VALUE!</v>
      </c>
      <c r="S56" s="66">
        <v>0</v>
      </c>
    </row>
    <row r="57" spans="1:19" s="65" customFormat="1" ht="30">
      <c r="A57" s="55"/>
      <c r="B57" s="132" t="s">
        <v>467</v>
      </c>
      <c r="C57" s="157" t="s">
        <v>616</v>
      </c>
      <c r="D57" s="94"/>
      <c r="E57" s="79"/>
      <c r="F57" s="61"/>
      <c r="G57" s="159" t="s">
        <v>617</v>
      </c>
      <c r="R57" s="66" t="e">
        <f>#VALUE!</f>
        <v>#VALUE!</v>
      </c>
      <c r="S57" s="66">
        <v>0</v>
      </c>
    </row>
    <row r="58" spans="1:19" s="65" customFormat="1" ht="15" customHeight="1">
      <c r="A58" s="55"/>
      <c r="B58" s="56" t="s">
        <v>618</v>
      </c>
      <c r="C58" s="57" t="s">
        <v>619</v>
      </c>
      <c r="D58" s="59">
        <v>13.71</v>
      </c>
      <c r="E58" s="60" t="s">
        <v>21</v>
      </c>
      <c r="F58" s="61"/>
      <c r="G58" s="63"/>
      <c r="R58" s="66" t="e">
        <f>#VALUE!</f>
        <v>#VALUE!</v>
      </c>
      <c r="S58" s="66">
        <v>0</v>
      </c>
    </row>
    <row r="59" spans="1:19" s="65" customFormat="1" ht="15" customHeight="1">
      <c r="A59" s="55"/>
      <c r="B59" s="56" t="s">
        <v>620</v>
      </c>
      <c r="C59" s="57" t="s">
        <v>621</v>
      </c>
      <c r="D59" s="59">
        <v>11.91</v>
      </c>
      <c r="E59" s="60" t="s">
        <v>21</v>
      </c>
      <c r="F59" s="61"/>
      <c r="G59" s="63"/>
      <c r="R59" s="66" t="e">
        <f>#VALUE!</f>
        <v>#VALUE!</v>
      </c>
      <c r="S59" s="66">
        <v>0</v>
      </c>
    </row>
    <row r="60" spans="1:19" s="65" customFormat="1" ht="15" customHeight="1">
      <c r="A60" s="55"/>
      <c r="B60" s="56" t="s">
        <v>622</v>
      </c>
      <c r="C60" s="57" t="s">
        <v>623</v>
      </c>
      <c r="D60" s="59">
        <v>9.85</v>
      </c>
      <c r="E60" s="60" t="s">
        <v>21</v>
      </c>
      <c r="F60" s="61"/>
      <c r="G60" s="63"/>
      <c r="R60" s="66" t="e">
        <f>#VALUE!</f>
        <v>#VALUE!</v>
      </c>
      <c r="S60" s="66">
        <v>0</v>
      </c>
    </row>
    <row r="61" spans="1:19" s="65" customFormat="1" ht="15" customHeight="1">
      <c r="A61" s="55"/>
      <c r="B61" s="56" t="s">
        <v>624</v>
      </c>
      <c r="C61" s="57" t="s">
        <v>625</v>
      </c>
      <c r="D61" s="59">
        <v>7.33</v>
      </c>
      <c r="E61" s="60" t="s">
        <v>21</v>
      </c>
      <c r="F61" s="61"/>
      <c r="G61" s="63"/>
      <c r="R61" s="66" t="e">
        <f>#VALUE!</f>
        <v>#VALUE!</v>
      </c>
      <c r="S61" s="66">
        <v>0</v>
      </c>
    </row>
    <row r="62" spans="1:19" s="65" customFormat="1" ht="30">
      <c r="A62" s="55"/>
      <c r="B62" s="132" t="s">
        <v>469</v>
      </c>
      <c r="C62" s="157" t="s">
        <v>626</v>
      </c>
      <c r="D62" s="94"/>
      <c r="E62" s="79"/>
      <c r="F62" s="61"/>
      <c r="G62" s="159" t="s">
        <v>627</v>
      </c>
      <c r="R62" s="66"/>
      <c r="S62" s="66"/>
    </row>
    <row r="63" spans="1:19" s="65" customFormat="1" ht="15" customHeight="1">
      <c r="A63" s="55"/>
      <c r="B63" s="56" t="s">
        <v>628</v>
      </c>
      <c r="C63" s="57" t="s">
        <v>629</v>
      </c>
      <c r="D63" s="59">
        <v>10.24</v>
      </c>
      <c r="E63" s="60" t="s">
        <v>21</v>
      </c>
      <c r="F63" s="61"/>
      <c r="G63" s="63"/>
      <c r="R63" s="66"/>
      <c r="S63" s="66"/>
    </row>
    <row r="64" spans="1:19" s="65" customFormat="1" ht="15" customHeight="1">
      <c r="A64" s="55"/>
      <c r="B64" s="56" t="s">
        <v>630</v>
      </c>
      <c r="C64" s="57" t="s">
        <v>631</v>
      </c>
      <c r="D64" s="59">
        <v>8.75</v>
      </c>
      <c r="E64" s="60" t="s">
        <v>21</v>
      </c>
      <c r="F64" s="61"/>
      <c r="G64" s="63"/>
      <c r="R64" s="66"/>
      <c r="S64" s="66"/>
    </row>
    <row r="65" spans="1:19" s="65" customFormat="1" ht="15" customHeight="1">
      <c r="A65" s="55"/>
      <c r="B65" s="56" t="s">
        <v>632</v>
      </c>
      <c r="C65" s="57" t="s">
        <v>633</v>
      </c>
      <c r="D65" s="59">
        <v>6.94</v>
      </c>
      <c r="E65" s="60" t="s">
        <v>21</v>
      </c>
      <c r="F65" s="61"/>
      <c r="G65" s="63"/>
      <c r="R65" s="66" t="e">
        <f>#VALUE!</f>
        <v>#VALUE!</v>
      </c>
      <c r="S65" s="66">
        <v>0</v>
      </c>
    </row>
    <row r="66" spans="1:19" s="65" customFormat="1" ht="15" customHeight="1">
      <c r="A66" s="55"/>
      <c r="B66" s="56" t="s">
        <v>634</v>
      </c>
      <c r="C66" s="57" t="s">
        <v>635</v>
      </c>
      <c r="D66" s="59">
        <v>4.6399999999999997</v>
      </c>
      <c r="E66" s="60" t="s">
        <v>21</v>
      </c>
      <c r="F66" s="61"/>
      <c r="G66" s="63"/>
      <c r="R66" s="66" t="e">
        <f>#VALUE!</f>
        <v>#VALUE!</v>
      </c>
      <c r="S66" s="66">
        <v>0</v>
      </c>
    </row>
    <row r="67" spans="1:19" s="65" customFormat="1" ht="15" customHeight="1">
      <c r="A67" s="194">
        <v>7</v>
      </c>
      <c r="B67" s="195"/>
      <c r="C67" s="196" t="s">
        <v>636</v>
      </c>
      <c r="D67" s="197"/>
      <c r="E67" s="198"/>
      <c r="F67" s="199"/>
      <c r="G67" s="200"/>
      <c r="R67" s="66"/>
      <c r="S67" s="66"/>
    </row>
    <row r="68" spans="1:19" s="65" customFormat="1" ht="60">
      <c r="A68" s="55"/>
      <c r="B68" s="132" t="s">
        <v>637</v>
      </c>
      <c r="C68" s="157" t="s">
        <v>638</v>
      </c>
      <c r="D68" s="94"/>
      <c r="E68" s="79"/>
      <c r="F68" s="61"/>
      <c r="G68" s="159" t="s">
        <v>639</v>
      </c>
      <c r="R68" s="66" t="e">
        <f>#VALUE!</f>
        <v>#VALUE!</v>
      </c>
      <c r="S68" s="66">
        <v>0</v>
      </c>
    </row>
    <row r="69" spans="1:19" s="65" customFormat="1" ht="15" customHeight="1">
      <c r="A69" s="55"/>
      <c r="B69" s="56" t="s">
        <v>640</v>
      </c>
      <c r="C69" s="209" t="s">
        <v>641</v>
      </c>
      <c r="D69" s="94">
        <v>10.81</v>
      </c>
      <c r="E69" s="60" t="s">
        <v>21</v>
      </c>
      <c r="F69" s="61"/>
      <c r="G69" s="201"/>
      <c r="R69" s="66" t="e">
        <f>#VALUE!</f>
        <v>#VALUE!</v>
      </c>
      <c r="S69" s="66">
        <v>0</v>
      </c>
    </row>
    <row r="70" spans="1:19" s="65" customFormat="1" ht="15" customHeight="1">
      <c r="A70" s="55"/>
      <c r="B70" s="56" t="s">
        <v>642</v>
      </c>
      <c r="C70" s="209" t="s">
        <v>643</v>
      </c>
      <c r="D70" s="94">
        <v>10.81</v>
      </c>
      <c r="E70" s="60" t="s">
        <v>21</v>
      </c>
      <c r="F70" s="61"/>
      <c r="G70" s="201"/>
      <c r="R70" s="66" t="e">
        <f>#VALUE!</f>
        <v>#VALUE!</v>
      </c>
      <c r="S70" s="66">
        <v>0</v>
      </c>
    </row>
    <row r="71" spans="1:19" s="65" customFormat="1" ht="15" customHeight="1">
      <c r="A71" s="55"/>
      <c r="B71" s="56" t="s">
        <v>644</v>
      </c>
      <c r="C71" s="209" t="s">
        <v>645</v>
      </c>
      <c r="D71" s="94">
        <v>11.95</v>
      </c>
      <c r="E71" s="60" t="s">
        <v>21</v>
      </c>
      <c r="F71" s="61"/>
      <c r="G71" s="201"/>
      <c r="R71" s="66" t="e">
        <f>#VALUE!</f>
        <v>#VALUE!</v>
      </c>
      <c r="S71" s="66">
        <v>0</v>
      </c>
    </row>
    <row r="72" spans="1:19" s="65" customFormat="1" ht="15" customHeight="1">
      <c r="A72" s="55"/>
      <c r="B72" s="56" t="s">
        <v>646</v>
      </c>
      <c r="C72" s="209" t="s">
        <v>647</v>
      </c>
      <c r="D72" s="94">
        <v>5.84</v>
      </c>
      <c r="E72" s="60" t="s">
        <v>21</v>
      </c>
      <c r="F72" s="61"/>
      <c r="G72" s="201"/>
      <c r="R72" s="66" t="e">
        <f>#VALUE!</f>
        <v>#VALUE!</v>
      </c>
      <c r="S72" s="66">
        <v>0</v>
      </c>
    </row>
    <row r="73" spans="1:19" s="65" customFormat="1" ht="15" customHeight="1">
      <c r="A73" s="55"/>
      <c r="B73" s="56" t="s">
        <v>648</v>
      </c>
      <c r="C73" s="209" t="s">
        <v>649</v>
      </c>
      <c r="D73" s="94">
        <v>12.91</v>
      </c>
      <c r="E73" s="60" t="s">
        <v>21</v>
      </c>
      <c r="F73" s="61"/>
      <c r="G73" s="201"/>
      <c r="R73" s="66" t="e">
        <f>#VALUE!</f>
        <v>#VALUE!</v>
      </c>
      <c r="S73" s="66">
        <v>0</v>
      </c>
    </row>
    <row r="74" spans="1:19" s="65" customFormat="1" ht="15" customHeight="1">
      <c r="A74" s="55"/>
      <c r="B74" s="56" t="s">
        <v>650</v>
      </c>
      <c r="C74" s="209" t="s">
        <v>651</v>
      </c>
      <c r="D74" s="94">
        <v>21.5</v>
      </c>
      <c r="E74" s="60" t="s">
        <v>21</v>
      </c>
      <c r="F74" s="61"/>
      <c r="G74" s="201"/>
      <c r="R74" s="66" t="e">
        <f>#VALUE!</f>
        <v>#VALUE!</v>
      </c>
      <c r="S74" s="66">
        <v>0</v>
      </c>
    </row>
    <row r="75" spans="1:19" s="65" customFormat="1" ht="15" customHeight="1">
      <c r="A75" s="55"/>
      <c r="B75" s="132" t="s">
        <v>652</v>
      </c>
      <c r="C75" s="133" t="s">
        <v>653</v>
      </c>
      <c r="D75" s="59">
        <v>0.96</v>
      </c>
      <c r="E75" s="60" t="s">
        <v>21</v>
      </c>
      <c r="F75" s="61"/>
      <c r="G75" s="63"/>
      <c r="R75" s="66" t="e">
        <f>#VALUE!</f>
        <v>#VALUE!</v>
      </c>
      <c r="S75" s="66">
        <v>0</v>
      </c>
    </row>
    <row r="76" spans="1:19" s="65" customFormat="1" ht="29.25" customHeight="1">
      <c r="A76" s="55"/>
      <c r="B76" s="132" t="s">
        <v>654</v>
      </c>
      <c r="C76" s="157" t="s">
        <v>655</v>
      </c>
      <c r="D76" s="94"/>
      <c r="E76" s="60" t="s">
        <v>506</v>
      </c>
      <c r="F76" s="61">
        <v>0.25</v>
      </c>
      <c r="G76" s="159" t="s">
        <v>656</v>
      </c>
      <c r="R76" s="66" t="e">
        <f>#VALUE!</f>
        <v>#VALUE!</v>
      </c>
      <c r="S76" s="66">
        <v>0</v>
      </c>
    </row>
    <row r="77" spans="1:19" s="65" customFormat="1" ht="105">
      <c r="A77" s="55"/>
      <c r="B77" s="132" t="s">
        <v>657</v>
      </c>
      <c r="C77" s="157" t="s">
        <v>658</v>
      </c>
      <c r="D77" s="94"/>
      <c r="E77" s="79" t="s">
        <v>506</v>
      </c>
      <c r="F77" s="61">
        <v>0.25</v>
      </c>
      <c r="G77" s="159" t="s">
        <v>659</v>
      </c>
      <c r="R77" s="66" t="e">
        <f>#VALUE!</f>
        <v>#VALUE!</v>
      </c>
      <c r="S77" s="66">
        <v>0</v>
      </c>
    </row>
    <row r="78" spans="1:19" s="65" customFormat="1" ht="15" customHeight="1">
      <c r="A78" s="55"/>
      <c r="B78" s="132" t="s">
        <v>660</v>
      </c>
      <c r="C78" s="133" t="s">
        <v>661</v>
      </c>
      <c r="D78" s="210">
        <v>0</v>
      </c>
      <c r="E78" s="79"/>
      <c r="F78" s="61"/>
      <c r="G78" s="211"/>
      <c r="R78" s="66" t="e">
        <f>#VALUE!</f>
        <v>#VALUE!</v>
      </c>
      <c r="S78" s="66">
        <v>0</v>
      </c>
    </row>
    <row r="79" spans="1:19" s="65" customFormat="1" ht="30">
      <c r="A79" s="55"/>
      <c r="B79" s="56" t="s">
        <v>662</v>
      </c>
      <c r="C79" s="57" t="s">
        <v>663</v>
      </c>
      <c r="D79" s="94"/>
      <c r="E79" s="79" t="s">
        <v>506</v>
      </c>
      <c r="F79" s="61">
        <v>1</v>
      </c>
      <c r="G79" s="201"/>
      <c r="R79" s="66"/>
      <c r="S79" s="66"/>
    </row>
    <row r="80" spans="1:19" s="65" customFormat="1">
      <c r="A80" s="55"/>
      <c r="B80" s="56" t="s">
        <v>664</v>
      </c>
      <c r="C80" s="57" t="s">
        <v>665</v>
      </c>
      <c r="D80" s="94"/>
      <c r="E80" s="79" t="s">
        <v>506</v>
      </c>
      <c r="F80" s="79">
        <v>1.5</v>
      </c>
      <c r="G80" s="201"/>
      <c r="R80" s="66"/>
      <c r="S80" s="66"/>
    </row>
    <row r="81" spans="1:19" s="65" customFormat="1" ht="15" customHeight="1">
      <c r="A81" s="194">
        <v>8</v>
      </c>
      <c r="B81" s="195"/>
      <c r="C81" s="196" t="s">
        <v>666</v>
      </c>
      <c r="D81" s="197"/>
      <c r="E81" s="198"/>
      <c r="F81" s="199"/>
      <c r="G81" s="200"/>
      <c r="R81" s="66"/>
      <c r="S81" s="66"/>
    </row>
    <row r="82" spans="1:19" s="65" customFormat="1" ht="45">
      <c r="A82" s="55"/>
      <c r="B82" s="132" t="s">
        <v>510</v>
      </c>
      <c r="C82" s="157" t="s">
        <v>667</v>
      </c>
      <c r="D82" s="134"/>
      <c r="E82" s="135"/>
      <c r="F82" s="207"/>
      <c r="G82" s="159" t="s">
        <v>668</v>
      </c>
      <c r="R82" s="66" t="e">
        <f>#VALUE!</f>
        <v>#VALUE!</v>
      </c>
      <c r="S82" s="66">
        <v>0</v>
      </c>
    </row>
    <row r="83" spans="1:19" s="65" customFormat="1" ht="15" customHeight="1">
      <c r="A83" s="55"/>
      <c r="B83" s="56" t="s">
        <v>669</v>
      </c>
      <c r="C83" s="209" t="s">
        <v>641</v>
      </c>
      <c r="D83" s="94">
        <v>10.38</v>
      </c>
      <c r="E83" s="60" t="s">
        <v>21</v>
      </c>
      <c r="F83" s="61"/>
      <c r="G83" s="201"/>
      <c r="R83" s="66" t="e">
        <f>#VALUE!</f>
        <v>#VALUE!</v>
      </c>
      <c r="S83" s="66">
        <v>0</v>
      </c>
    </row>
    <row r="84" spans="1:19" s="65" customFormat="1" ht="15" customHeight="1">
      <c r="A84" s="55"/>
      <c r="B84" s="56" t="s">
        <v>670</v>
      </c>
      <c r="C84" s="209" t="s">
        <v>643</v>
      </c>
      <c r="D84" s="94">
        <v>9.1999999999999993</v>
      </c>
      <c r="E84" s="60" t="s">
        <v>21</v>
      </c>
      <c r="F84" s="61"/>
      <c r="G84" s="201"/>
      <c r="R84" s="66" t="e">
        <f>#VALUE!</f>
        <v>#VALUE!</v>
      </c>
      <c r="S84" s="66">
        <v>0</v>
      </c>
    </row>
    <row r="85" spans="1:19" s="65" customFormat="1" ht="15" customHeight="1">
      <c r="A85" s="55"/>
      <c r="B85" s="56" t="s">
        <v>671</v>
      </c>
      <c r="C85" s="209" t="s">
        <v>645</v>
      </c>
      <c r="D85" s="94">
        <v>14.01</v>
      </c>
      <c r="E85" s="60" t="s">
        <v>21</v>
      </c>
      <c r="F85" s="61"/>
      <c r="G85" s="201"/>
      <c r="R85" s="66" t="e">
        <f>#VALUE!</f>
        <v>#VALUE!</v>
      </c>
      <c r="S85" s="66">
        <v>0</v>
      </c>
    </row>
    <row r="86" spans="1:19" s="65" customFormat="1" ht="15" customHeight="1">
      <c r="A86" s="55"/>
      <c r="B86" s="56" t="s">
        <v>672</v>
      </c>
      <c r="C86" s="209" t="s">
        <v>647</v>
      </c>
      <c r="D86" s="94">
        <v>6.24</v>
      </c>
      <c r="E86" s="60" t="s">
        <v>21</v>
      </c>
      <c r="F86" s="61"/>
      <c r="G86" s="201"/>
      <c r="R86" s="66" t="e">
        <f>#VALUE!</f>
        <v>#VALUE!</v>
      </c>
      <c r="S86" s="66">
        <v>0</v>
      </c>
    </row>
    <row r="87" spans="1:19" s="65" customFormat="1" ht="15" customHeight="1">
      <c r="A87" s="55"/>
      <c r="B87" s="56" t="s">
        <v>673</v>
      </c>
      <c r="C87" s="209" t="s">
        <v>649</v>
      </c>
      <c r="D87" s="94">
        <v>36.33</v>
      </c>
      <c r="E87" s="60" t="s">
        <v>21</v>
      </c>
      <c r="F87" s="61"/>
      <c r="G87" s="201"/>
      <c r="R87" s="66" t="e">
        <f>#VALUE!</f>
        <v>#VALUE!</v>
      </c>
      <c r="S87" s="66">
        <v>0</v>
      </c>
    </row>
    <row r="88" spans="1:19" s="65" customFormat="1" ht="15" customHeight="1">
      <c r="A88" s="55"/>
      <c r="B88" s="56" t="s">
        <v>674</v>
      </c>
      <c r="C88" s="209" t="s">
        <v>651</v>
      </c>
      <c r="D88" s="94">
        <v>20.76</v>
      </c>
      <c r="E88" s="60" t="s">
        <v>21</v>
      </c>
      <c r="F88" s="61"/>
      <c r="G88" s="201"/>
      <c r="R88" s="66" t="e">
        <f>#VALUE!</f>
        <v>#VALUE!</v>
      </c>
      <c r="S88" s="66">
        <v>0</v>
      </c>
    </row>
    <row r="89" spans="1:19" s="65" customFormat="1" ht="30">
      <c r="A89" s="55"/>
      <c r="B89" s="132" t="s">
        <v>514</v>
      </c>
      <c r="C89" s="157" t="s">
        <v>675</v>
      </c>
      <c r="D89" s="134"/>
      <c r="E89" s="135"/>
      <c r="F89" s="207"/>
      <c r="G89" s="159" t="s">
        <v>676</v>
      </c>
      <c r="R89" s="66" t="e">
        <f>#VALUE!</f>
        <v>#VALUE!</v>
      </c>
      <c r="S89" s="66">
        <v>0</v>
      </c>
    </row>
    <row r="90" spans="1:19" s="65" customFormat="1" ht="30">
      <c r="A90" s="55"/>
      <c r="B90" s="205" t="s">
        <v>677</v>
      </c>
      <c r="C90" s="203" t="s">
        <v>678</v>
      </c>
      <c r="D90" s="94"/>
      <c r="E90" s="60" t="s">
        <v>506</v>
      </c>
      <c r="F90" s="61">
        <v>0.5</v>
      </c>
      <c r="G90" s="201" t="s">
        <v>679</v>
      </c>
      <c r="R90" s="66" t="e">
        <f>#VALUE!</f>
        <v>#VALUE!</v>
      </c>
      <c r="S90" s="66">
        <v>0</v>
      </c>
    </row>
    <row r="91" spans="1:19" s="65" customFormat="1" ht="30">
      <c r="A91" s="55"/>
      <c r="B91" s="56" t="s">
        <v>680</v>
      </c>
      <c r="C91" s="203" t="s">
        <v>681</v>
      </c>
      <c r="D91" s="94"/>
      <c r="E91" s="60" t="s">
        <v>506</v>
      </c>
      <c r="F91" s="61">
        <v>0.1</v>
      </c>
      <c r="G91" s="201" t="s">
        <v>682</v>
      </c>
      <c r="R91" s="66" t="e">
        <f>#VALUE!</f>
        <v>#VALUE!</v>
      </c>
      <c r="S91" s="66">
        <v>0</v>
      </c>
    </row>
    <row r="92" spans="1:19" s="65" customFormat="1" ht="30">
      <c r="A92" s="55"/>
      <c r="B92" s="56" t="s">
        <v>683</v>
      </c>
      <c r="C92" s="203" t="s">
        <v>684</v>
      </c>
      <c r="D92" s="94"/>
      <c r="E92" s="60" t="s">
        <v>506</v>
      </c>
      <c r="F92" s="61">
        <v>0.23</v>
      </c>
      <c r="G92" s="201" t="s">
        <v>685</v>
      </c>
      <c r="R92" s="66" t="e">
        <f>#VALUE!</f>
        <v>#VALUE!</v>
      </c>
      <c r="S92" s="66">
        <v>0</v>
      </c>
    </row>
    <row r="93" spans="1:19" s="65" customFormat="1" ht="30">
      <c r="A93" s="55"/>
      <c r="B93" s="56" t="s">
        <v>686</v>
      </c>
      <c r="C93" s="203" t="s">
        <v>687</v>
      </c>
      <c r="D93" s="94"/>
      <c r="E93" s="60" t="s">
        <v>506</v>
      </c>
      <c r="F93" s="61">
        <v>0.17</v>
      </c>
      <c r="G93" s="201" t="s">
        <v>688</v>
      </c>
      <c r="R93" s="66" t="e">
        <f>#VALUE!</f>
        <v>#VALUE!</v>
      </c>
      <c r="S93" s="66">
        <v>0</v>
      </c>
    </row>
    <row r="94" spans="1:19" s="65" customFormat="1" ht="15" customHeight="1">
      <c r="A94" s="55"/>
      <c r="B94" s="132" t="s">
        <v>689</v>
      </c>
      <c r="C94" s="133" t="s">
        <v>690</v>
      </c>
      <c r="D94" s="134"/>
      <c r="E94" s="135"/>
      <c r="F94" s="207"/>
      <c r="G94" s="159"/>
      <c r="R94" s="66" t="e">
        <f>#VALUE!</f>
        <v>#VALUE!</v>
      </c>
      <c r="S94" s="66">
        <v>0</v>
      </c>
    </row>
    <row r="95" spans="1:19" s="65" customFormat="1" ht="45">
      <c r="A95" s="55"/>
      <c r="B95" s="56" t="s">
        <v>691</v>
      </c>
      <c r="C95" s="203" t="s">
        <v>692</v>
      </c>
      <c r="D95" s="59">
        <v>1898.17</v>
      </c>
      <c r="E95" s="60" t="s">
        <v>16</v>
      </c>
      <c r="F95" s="61"/>
      <c r="G95" s="63"/>
      <c r="R95" s="66" t="e">
        <f>#VALUE!</f>
        <v>#VALUE!</v>
      </c>
      <c r="S95" s="66">
        <v>0</v>
      </c>
    </row>
    <row r="96" spans="1:19" s="65" customFormat="1" ht="30">
      <c r="A96" s="55"/>
      <c r="B96" s="56" t="s">
        <v>693</v>
      </c>
      <c r="C96" s="57" t="s">
        <v>694</v>
      </c>
      <c r="D96" s="94"/>
      <c r="E96" s="79" t="s">
        <v>506</v>
      </c>
      <c r="F96" s="61">
        <v>0.25</v>
      </c>
      <c r="G96" s="201" t="s">
        <v>695</v>
      </c>
      <c r="R96" s="66" t="e">
        <f>#VALUE!</f>
        <v>#VALUE!</v>
      </c>
      <c r="S96" s="66">
        <v>0</v>
      </c>
    </row>
    <row r="97" spans="1:19" s="65" customFormat="1" ht="15" customHeight="1">
      <c r="A97" s="55"/>
      <c r="B97" s="132" t="s">
        <v>696</v>
      </c>
      <c r="C97" s="133" t="s">
        <v>697</v>
      </c>
      <c r="D97" s="94"/>
      <c r="E97" s="79"/>
      <c r="F97" s="61"/>
      <c r="G97" s="201"/>
      <c r="R97" s="66" t="e">
        <f>#VALUE!</f>
        <v>#VALUE!</v>
      </c>
      <c r="S97" s="66">
        <v>0</v>
      </c>
    </row>
    <row r="98" spans="1:19" s="65" customFormat="1" ht="90">
      <c r="A98" s="55"/>
      <c r="B98" s="56" t="s">
        <v>698</v>
      </c>
      <c r="C98" s="203" t="s">
        <v>699</v>
      </c>
      <c r="D98" s="94"/>
      <c r="E98" s="79" t="s">
        <v>506</v>
      </c>
      <c r="F98" s="61">
        <v>0.25</v>
      </c>
      <c r="G98" s="201" t="s">
        <v>700</v>
      </c>
      <c r="R98" s="66" t="e">
        <f>#VALUE!</f>
        <v>#VALUE!</v>
      </c>
      <c r="S98" s="66">
        <v>0</v>
      </c>
    </row>
    <row r="99" spans="1:19" s="65" customFormat="1" ht="15" customHeight="1">
      <c r="A99" s="55"/>
      <c r="B99" s="132" t="s">
        <v>701</v>
      </c>
      <c r="C99" s="133" t="s">
        <v>702</v>
      </c>
      <c r="D99" s="94"/>
      <c r="E99" s="79"/>
      <c r="F99" s="61"/>
      <c r="G99" s="201"/>
      <c r="R99" s="66" t="e">
        <f>#VALUE!</f>
        <v>#VALUE!</v>
      </c>
      <c r="S99" s="66">
        <v>0</v>
      </c>
    </row>
    <row r="100" spans="1:19" s="65" customFormat="1" ht="60">
      <c r="A100" s="55"/>
      <c r="B100" s="56" t="s">
        <v>703</v>
      </c>
      <c r="C100" s="57" t="s">
        <v>704</v>
      </c>
      <c r="D100" s="94"/>
      <c r="E100" s="79" t="s">
        <v>506</v>
      </c>
      <c r="F100" s="61">
        <v>0.25</v>
      </c>
      <c r="G100" s="201"/>
      <c r="R100" s="66" t="e">
        <f>#VALUE!</f>
        <v>#VALUE!</v>
      </c>
      <c r="S100" s="66">
        <v>0</v>
      </c>
    </row>
    <row r="101" spans="1:19" s="65" customFormat="1" ht="15" customHeight="1">
      <c r="A101" s="55"/>
      <c r="B101" s="132" t="s">
        <v>705</v>
      </c>
      <c r="C101" s="133" t="s">
        <v>706</v>
      </c>
      <c r="D101" s="94"/>
      <c r="E101" s="79"/>
      <c r="F101" s="61"/>
      <c r="G101" s="201"/>
      <c r="R101" s="66" t="e">
        <f>#VALUE!</f>
        <v>#VALUE!</v>
      </c>
      <c r="S101" s="66">
        <v>0</v>
      </c>
    </row>
    <row r="102" spans="1:19" s="65" customFormat="1" ht="30">
      <c r="A102" s="55"/>
      <c r="B102" s="56" t="s">
        <v>707</v>
      </c>
      <c r="C102" s="57" t="s">
        <v>708</v>
      </c>
      <c r="D102" s="94"/>
      <c r="E102" s="79" t="s">
        <v>506</v>
      </c>
      <c r="F102" s="61">
        <v>1</v>
      </c>
      <c r="G102" s="201"/>
      <c r="R102" s="66">
        <v>0</v>
      </c>
      <c r="S102" s="66">
        <v>0</v>
      </c>
    </row>
    <row r="103" spans="1:19" s="65" customFormat="1">
      <c r="A103" s="55"/>
      <c r="B103" s="56" t="s">
        <v>707</v>
      </c>
      <c r="C103" s="57" t="s">
        <v>665</v>
      </c>
      <c r="D103" s="94"/>
      <c r="E103" s="79" t="s">
        <v>506</v>
      </c>
      <c r="F103" s="61">
        <v>1.5</v>
      </c>
      <c r="G103" s="201"/>
      <c r="R103" s="66">
        <v>0</v>
      </c>
      <c r="S103" s="66">
        <v>0</v>
      </c>
    </row>
    <row r="104" spans="1:19" s="65" customFormat="1" ht="15" customHeight="1">
      <c r="A104" s="194">
        <v>9</v>
      </c>
      <c r="B104" s="195"/>
      <c r="C104" s="196" t="s">
        <v>709</v>
      </c>
      <c r="D104" s="197"/>
      <c r="E104" s="198"/>
      <c r="F104" s="199"/>
      <c r="G104" s="200"/>
      <c r="R104" s="66"/>
      <c r="S104" s="66"/>
    </row>
    <row r="105" spans="1:19" s="65" customFormat="1" ht="15" customHeight="1">
      <c r="A105" s="55"/>
      <c r="B105" s="132" t="s">
        <v>710</v>
      </c>
      <c r="C105" s="133" t="s">
        <v>711</v>
      </c>
      <c r="D105" s="134"/>
      <c r="E105" s="135"/>
      <c r="F105" s="207"/>
      <c r="G105" s="159"/>
      <c r="R105" s="66"/>
      <c r="S105" s="66"/>
    </row>
    <row r="106" spans="1:19" s="65" customFormat="1" ht="15" customHeight="1">
      <c r="A106" s="55"/>
      <c r="B106" s="56" t="s">
        <v>712</v>
      </c>
      <c r="C106" s="209" t="s">
        <v>713</v>
      </c>
      <c r="D106" s="94">
        <v>2.97</v>
      </c>
      <c r="E106" s="60" t="s">
        <v>21</v>
      </c>
      <c r="F106" s="61"/>
      <c r="G106" s="201"/>
      <c r="R106" s="66" t="e">
        <f>#VALUE!</f>
        <v>#VALUE!</v>
      </c>
      <c r="S106" s="66">
        <v>0</v>
      </c>
    </row>
    <row r="107" spans="1:19" s="65" customFormat="1" ht="15" customHeight="1">
      <c r="A107" s="55"/>
      <c r="B107" s="56" t="s">
        <v>714</v>
      </c>
      <c r="C107" s="209" t="s">
        <v>715</v>
      </c>
      <c r="D107" s="94">
        <v>3.37</v>
      </c>
      <c r="E107" s="60" t="s">
        <v>21</v>
      </c>
      <c r="F107" s="61"/>
      <c r="G107" s="201"/>
      <c r="R107" s="66" t="e">
        <f>#VALUE!</f>
        <v>#VALUE!</v>
      </c>
      <c r="S107" s="66">
        <v>0</v>
      </c>
    </row>
    <row r="108" spans="1:19" s="65" customFormat="1" ht="15" customHeight="1">
      <c r="A108" s="55"/>
      <c r="B108" s="56" t="s">
        <v>716</v>
      </c>
      <c r="C108" s="209" t="s">
        <v>643</v>
      </c>
      <c r="D108" s="94">
        <v>2.97</v>
      </c>
      <c r="E108" s="60" t="s">
        <v>21</v>
      </c>
      <c r="F108" s="61"/>
      <c r="G108" s="201"/>
      <c r="R108" s="66" t="e">
        <f>#VALUE!</f>
        <v>#VALUE!</v>
      </c>
      <c r="S108" s="66">
        <v>0</v>
      </c>
    </row>
    <row r="109" spans="1:19" s="65" customFormat="1" ht="15" customHeight="1">
      <c r="A109" s="55"/>
      <c r="B109" s="56" t="s">
        <v>717</v>
      </c>
      <c r="C109" s="209" t="s">
        <v>645</v>
      </c>
      <c r="D109" s="94">
        <v>5.62</v>
      </c>
      <c r="E109" s="60" t="s">
        <v>21</v>
      </c>
      <c r="F109" s="61"/>
      <c r="G109" s="201"/>
      <c r="R109" s="66" t="e">
        <f>#VALUE!</f>
        <v>#VALUE!</v>
      </c>
      <c r="S109" s="66">
        <v>0</v>
      </c>
    </row>
    <row r="110" spans="1:19" s="65" customFormat="1" ht="15" customHeight="1">
      <c r="A110" s="55"/>
      <c r="B110" s="56" t="s">
        <v>718</v>
      </c>
      <c r="C110" s="209" t="s">
        <v>647</v>
      </c>
      <c r="D110" s="94">
        <v>1.77</v>
      </c>
      <c r="E110" s="60" t="s">
        <v>21</v>
      </c>
      <c r="F110" s="61"/>
      <c r="G110" s="201"/>
      <c r="R110" s="66" t="e">
        <f>#VALUE!</f>
        <v>#VALUE!</v>
      </c>
      <c r="S110" s="66">
        <v>0</v>
      </c>
    </row>
    <row r="111" spans="1:19" s="65" customFormat="1" ht="15" customHeight="1">
      <c r="A111" s="55"/>
      <c r="B111" s="56" t="s">
        <v>719</v>
      </c>
      <c r="C111" s="209" t="s">
        <v>649</v>
      </c>
      <c r="D111" s="94">
        <v>5.29</v>
      </c>
      <c r="E111" s="60" t="s">
        <v>21</v>
      </c>
      <c r="F111" s="61"/>
      <c r="G111" s="201"/>
      <c r="R111" s="66" t="e">
        <f>#VALUE!</f>
        <v>#VALUE!</v>
      </c>
      <c r="S111" s="66">
        <v>0</v>
      </c>
    </row>
    <row r="112" spans="1:19" s="65" customFormat="1" ht="15" customHeight="1">
      <c r="A112" s="55"/>
      <c r="B112" s="56" t="s">
        <v>720</v>
      </c>
      <c r="C112" s="209" t="s">
        <v>651</v>
      </c>
      <c r="D112" s="94">
        <v>5.78</v>
      </c>
      <c r="E112" s="60" t="s">
        <v>21</v>
      </c>
      <c r="F112" s="61"/>
      <c r="G112" s="201"/>
      <c r="R112" s="66" t="e">
        <f>#VALUE!</f>
        <v>#VALUE!</v>
      </c>
      <c r="S112" s="66">
        <v>0</v>
      </c>
    </row>
    <row r="113" spans="1:19" s="65" customFormat="1" ht="15" customHeight="1">
      <c r="A113" s="55"/>
      <c r="B113" s="132" t="s">
        <v>721</v>
      </c>
      <c r="C113" s="133" t="s">
        <v>722</v>
      </c>
      <c r="D113" s="94"/>
      <c r="E113" s="79"/>
      <c r="F113" s="61"/>
      <c r="G113" s="201"/>
      <c r="R113" s="66" t="e">
        <f>#VALUE!</f>
        <v>#VALUE!</v>
      </c>
      <c r="S113" s="66">
        <v>0</v>
      </c>
    </row>
    <row r="114" spans="1:19" s="65" customFormat="1" ht="30">
      <c r="A114" s="55"/>
      <c r="B114" s="56" t="s">
        <v>723</v>
      </c>
      <c r="C114" s="203" t="s">
        <v>724</v>
      </c>
      <c r="D114" s="94"/>
      <c r="E114" s="79" t="s">
        <v>506</v>
      </c>
      <c r="F114" s="61">
        <v>0.25</v>
      </c>
      <c r="G114" s="201"/>
      <c r="R114" s="66"/>
      <c r="S114" s="66"/>
    </row>
    <row r="115" spans="1:19" s="65" customFormat="1" ht="15" customHeight="1">
      <c r="A115" s="55"/>
      <c r="B115" s="132" t="s">
        <v>725</v>
      </c>
      <c r="C115" s="133" t="s">
        <v>726</v>
      </c>
      <c r="D115" s="94"/>
      <c r="E115" s="79"/>
      <c r="F115" s="61"/>
      <c r="G115" s="201"/>
      <c r="R115" s="66"/>
      <c r="S115" s="66"/>
    </row>
    <row r="116" spans="1:19" s="65" customFormat="1" ht="30">
      <c r="A116" s="55"/>
      <c r="B116" s="56" t="s">
        <v>727</v>
      </c>
      <c r="C116" s="57" t="s">
        <v>663</v>
      </c>
      <c r="D116" s="94"/>
      <c r="E116" s="79" t="s">
        <v>506</v>
      </c>
      <c r="F116" s="79">
        <v>1</v>
      </c>
      <c r="G116" s="201"/>
      <c r="R116" s="66"/>
      <c r="S116" s="66"/>
    </row>
    <row r="117" spans="1:19" s="65" customFormat="1">
      <c r="A117" s="55"/>
      <c r="B117" s="56" t="s">
        <v>728</v>
      </c>
      <c r="C117" s="57" t="s">
        <v>729</v>
      </c>
      <c r="D117" s="94"/>
      <c r="E117" s="79" t="s">
        <v>506</v>
      </c>
      <c r="F117" s="79">
        <v>1.5</v>
      </c>
      <c r="G117" s="201"/>
      <c r="R117" s="66"/>
      <c r="S117" s="66"/>
    </row>
    <row r="118" spans="1:19" s="65" customFormat="1" ht="60">
      <c r="A118" s="194">
        <v>10</v>
      </c>
      <c r="B118" s="195"/>
      <c r="C118" s="202" t="s">
        <v>730</v>
      </c>
      <c r="D118" s="212"/>
      <c r="E118" s="213"/>
      <c r="F118" s="214"/>
      <c r="G118" s="215" t="s">
        <v>731</v>
      </c>
      <c r="R118" s="66"/>
      <c r="S118" s="66"/>
    </row>
    <row r="119" spans="1:19" s="65" customFormat="1" ht="33" customHeight="1">
      <c r="A119" s="55"/>
      <c r="B119" s="132" t="s">
        <v>732</v>
      </c>
      <c r="C119" s="133" t="s">
        <v>733</v>
      </c>
      <c r="D119" s="94">
        <v>6.2</v>
      </c>
      <c r="E119" s="79" t="s">
        <v>21</v>
      </c>
      <c r="F119" s="61"/>
      <c r="G119" s="201"/>
      <c r="R119" s="66" t="e">
        <f>#VALUE!</f>
        <v>#VALUE!</v>
      </c>
      <c r="S119" s="66">
        <v>0</v>
      </c>
    </row>
    <row r="120" spans="1:19" s="65" customFormat="1" ht="15" customHeight="1">
      <c r="A120" s="55"/>
      <c r="B120" s="132" t="s">
        <v>734</v>
      </c>
      <c r="C120" s="133" t="s">
        <v>735</v>
      </c>
      <c r="D120" s="94"/>
      <c r="E120" s="79"/>
      <c r="F120" s="61"/>
      <c r="G120" s="201"/>
      <c r="R120" s="66"/>
      <c r="S120" s="66"/>
    </row>
    <row r="121" spans="1:19" s="65" customFormat="1" ht="15" customHeight="1">
      <c r="A121" s="55"/>
      <c r="B121" s="56" t="s">
        <v>736</v>
      </c>
      <c r="C121" s="57" t="s">
        <v>737</v>
      </c>
      <c r="D121" s="94"/>
      <c r="E121" s="79"/>
      <c r="F121" s="61">
        <v>1.5</v>
      </c>
      <c r="G121" s="201"/>
      <c r="R121" s="66"/>
      <c r="S121" s="66"/>
    </row>
    <row r="122" spans="1:19" s="65" customFormat="1" ht="15" customHeight="1">
      <c r="A122" s="55"/>
      <c r="B122" s="56"/>
      <c r="C122" s="57" t="s">
        <v>738</v>
      </c>
      <c r="D122" s="94"/>
      <c r="E122" s="79"/>
      <c r="F122" s="61">
        <v>1.2</v>
      </c>
      <c r="G122" s="201"/>
      <c r="R122" s="66"/>
      <c r="S122" s="66"/>
    </row>
    <row r="123" spans="1:19" s="65" customFormat="1" ht="15" customHeight="1">
      <c r="A123" s="55"/>
      <c r="B123" s="56"/>
      <c r="C123" s="57" t="s">
        <v>739</v>
      </c>
      <c r="D123" s="94"/>
      <c r="E123" s="79"/>
      <c r="F123" s="61">
        <v>2</v>
      </c>
      <c r="G123" s="201"/>
      <c r="R123" s="66"/>
      <c r="S123" s="66"/>
    </row>
    <row r="124" spans="1:19" s="65" customFormat="1" ht="15" customHeight="1">
      <c r="A124" s="55"/>
      <c r="B124" s="56"/>
      <c r="C124" s="57" t="s">
        <v>740</v>
      </c>
      <c r="D124" s="94"/>
      <c r="E124" s="79"/>
      <c r="F124" s="61">
        <v>1</v>
      </c>
      <c r="G124" s="201"/>
      <c r="R124" s="66"/>
      <c r="S124" s="66"/>
    </row>
    <row r="125" spans="1:19" s="65" customFormat="1" ht="15" customHeight="1">
      <c r="A125" s="55"/>
      <c r="B125" s="56"/>
      <c r="C125" s="57" t="s">
        <v>741</v>
      </c>
      <c r="D125" s="94"/>
      <c r="E125" s="79"/>
      <c r="F125" s="61">
        <v>2</v>
      </c>
      <c r="G125" s="201"/>
      <c r="R125" s="66"/>
      <c r="S125" s="66"/>
    </row>
    <row r="126" spans="1:19" s="65" customFormat="1" ht="15" customHeight="1">
      <c r="A126" s="55"/>
      <c r="B126" s="56"/>
      <c r="C126" s="57" t="s">
        <v>742</v>
      </c>
      <c r="D126" s="94"/>
      <c r="E126" s="79"/>
      <c r="F126" s="61">
        <v>2</v>
      </c>
      <c r="G126" s="201"/>
      <c r="R126" s="66"/>
      <c r="S126" s="66"/>
    </row>
    <row r="127" spans="1:19" s="65" customFormat="1" ht="15" customHeight="1">
      <c r="A127" s="55"/>
      <c r="B127" s="56"/>
      <c r="C127" s="57" t="s">
        <v>743</v>
      </c>
      <c r="D127" s="94"/>
      <c r="E127" s="79"/>
      <c r="F127" s="61">
        <v>1</v>
      </c>
      <c r="G127" s="201"/>
      <c r="R127" s="66"/>
      <c r="S127" s="66"/>
    </row>
    <row r="128" spans="1:19" s="65" customFormat="1" ht="15" customHeight="1">
      <c r="A128" s="55"/>
      <c r="B128" s="56"/>
      <c r="C128" s="57" t="s">
        <v>744</v>
      </c>
      <c r="D128" s="94"/>
      <c r="E128" s="79"/>
      <c r="F128" s="61">
        <v>2</v>
      </c>
      <c r="G128" s="201"/>
      <c r="R128" s="66"/>
      <c r="S128" s="66"/>
    </row>
    <row r="129" spans="1:19" s="65" customFormat="1" ht="15" customHeight="1">
      <c r="A129" s="55"/>
      <c r="B129" s="56"/>
      <c r="C129" s="57" t="s">
        <v>745</v>
      </c>
      <c r="D129" s="94"/>
      <c r="E129" s="79"/>
      <c r="F129" s="61">
        <v>1.5</v>
      </c>
      <c r="G129" s="201"/>
      <c r="R129" s="66"/>
      <c r="S129" s="66"/>
    </row>
    <row r="130" spans="1:19" s="65" customFormat="1" ht="15" customHeight="1">
      <c r="A130" s="55"/>
      <c r="B130" s="56"/>
      <c r="C130" s="57" t="s">
        <v>746</v>
      </c>
      <c r="D130" s="94"/>
      <c r="E130" s="79"/>
      <c r="F130" s="61">
        <v>2</v>
      </c>
      <c r="G130" s="201"/>
      <c r="R130" s="66"/>
      <c r="S130" s="66"/>
    </row>
    <row r="131" spans="1:19" s="65" customFormat="1" ht="15" customHeight="1">
      <c r="A131" s="55"/>
      <c r="B131" s="56"/>
      <c r="C131" s="57" t="s">
        <v>747</v>
      </c>
      <c r="D131" s="94"/>
      <c r="E131" s="79"/>
      <c r="F131" s="61">
        <v>2</v>
      </c>
      <c r="G131" s="201"/>
      <c r="R131" s="66"/>
      <c r="S131" s="66"/>
    </row>
    <row r="132" spans="1:19" s="65" customFormat="1" ht="15" customHeight="1">
      <c r="A132" s="55"/>
      <c r="B132" s="56" t="s">
        <v>748</v>
      </c>
      <c r="C132" s="57" t="s">
        <v>749</v>
      </c>
      <c r="D132" s="94"/>
      <c r="E132" s="79"/>
      <c r="F132" s="61"/>
      <c r="G132" s="201"/>
      <c r="R132" s="66"/>
      <c r="S132" s="66"/>
    </row>
    <row r="133" spans="1:19" s="65" customFormat="1" ht="15" customHeight="1">
      <c r="A133" s="55"/>
      <c r="B133" s="56"/>
      <c r="C133" s="57" t="s">
        <v>750</v>
      </c>
      <c r="D133" s="94"/>
      <c r="E133" s="79"/>
      <c r="F133" s="61">
        <v>0.2</v>
      </c>
      <c r="G133" s="201"/>
      <c r="R133" s="66"/>
      <c r="S133" s="66"/>
    </row>
    <row r="134" spans="1:19" s="65" customFormat="1" ht="15" customHeight="1">
      <c r="A134" s="55"/>
      <c r="B134" s="56"/>
      <c r="C134" s="57" t="s">
        <v>751</v>
      </c>
      <c r="D134" s="94"/>
      <c r="E134" s="79"/>
      <c r="F134" s="61">
        <v>0.7</v>
      </c>
      <c r="G134" s="201"/>
      <c r="R134" s="66"/>
      <c r="S134" s="66"/>
    </row>
    <row r="135" spans="1:19" s="65" customFormat="1" ht="15" customHeight="1">
      <c r="A135" s="55"/>
      <c r="B135" s="56"/>
      <c r="C135" s="57" t="s">
        <v>752</v>
      </c>
      <c r="D135" s="94"/>
      <c r="E135" s="79"/>
      <c r="F135" s="61">
        <v>0.45</v>
      </c>
      <c r="G135" s="201"/>
      <c r="R135" s="66"/>
      <c r="S135" s="66"/>
    </row>
    <row r="136" spans="1:19" s="65" customFormat="1" ht="15" customHeight="1">
      <c r="A136" s="55"/>
      <c r="B136" s="56"/>
      <c r="C136" s="57" t="s">
        <v>753</v>
      </c>
      <c r="D136" s="94"/>
      <c r="E136" s="79"/>
      <c r="F136" s="61">
        <v>2</v>
      </c>
      <c r="G136" s="201"/>
      <c r="R136" s="66"/>
      <c r="S136" s="66"/>
    </row>
    <row r="137" spans="1:19" s="65" customFormat="1" ht="15" customHeight="1">
      <c r="A137" s="55"/>
      <c r="B137" s="56"/>
      <c r="C137" s="57" t="s">
        <v>754</v>
      </c>
      <c r="D137" s="94"/>
      <c r="E137" s="79"/>
      <c r="F137" s="61" t="s">
        <v>755</v>
      </c>
      <c r="G137" s="201"/>
      <c r="R137" s="66"/>
      <c r="S137" s="66"/>
    </row>
    <row r="138" spans="1:19" s="65" customFormat="1" ht="15" customHeight="1">
      <c r="A138" s="55"/>
      <c r="B138" s="56" t="s">
        <v>756</v>
      </c>
      <c r="C138" s="57" t="s">
        <v>757</v>
      </c>
      <c r="D138" s="94"/>
      <c r="E138" s="79"/>
      <c r="F138" s="61"/>
      <c r="G138" s="201"/>
      <c r="R138" s="66"/>
      <c r="S138" s="66"/>
    </row>
    <row r="139" spans="1:19" s="65" customFormat="1" ht="15" customHeight="1">
      <c r="A139" s="55"/>
      <c r="B139" s="56"/>
      <c r="C139" s="57" t="s">
        <v>758</v>
      </c>
      <c r="D139" s="94"/>
      <c r="E139" s="79"/>
      <c r="F139" s="61">
        <v>1</v>
      </c>
      <c r="G139" s="201"/>
      <c r="R139" s="66"/>
      <c r="S139" s="66"/>
    </row>
    <row r="140" spans="1:19" s="65" customFormat="1" ht="15" customHeight="1">
      <c r="A140" s="55"/>
      <c r="B140" s="56"/>
      <c r="C140" s="57" t="s">
        <v>759</v>
      </c>
      <c r="D140" s="94"/>
      <c r="E140" s="79"/>
      <c r="F140" s="61">
        <v>1.1499999999999999</v>
      </c>
      <c r="G140" s="201"/>
      <c r="R140" s="66"/>
      <c r="S140" s="66"/>
    </row>
    <row r="141" spans="1:19" s="65" customFormat="1" ht="15" customHeight="1">
      <c r="A141" s="55"/>
      <c r="B141" s="56"/>
      <c r="C141" s="57" t="s">
        <v>760</v>
      </c>
      <c r="D141" s="94"/>
      <c r="E141" s="79"/>
      <c r="F141" s="61">
        <v>1.3</v>
      </c>
      <c r="G141" s="201"/>
      <c r="R141" s="66"/>
      <c r="S141" s="66"/>
    </row>
    <row r="142" spans="1:19" s="65" customFormat="1" ht="15" customHeight="1">
      <c r="A142" s="55"/>
      <c r="B142" s="56" t="s">
        <v>761</v>
      </c>
      <c r="C142" s="57" t="s">
        <v>762</v>
      </c>
      <c r="D142" s="94"/>
      <c r="E142" s="79"/>
      <c r="F142" s="61"/>
      <c r="G142" s="201"/>
      <c r="R142" s="66"/>
      <c r="S142" s="66"/>
    </row>
    <row r="143" spans="1:19" s="65" customFormat="1" ht="15" customHeight="1">
      <c r="A143" s="55"/>
      <c r="B143" s="56"/>
      <c r="C143" s="57" t="s">
        <v>763</v>
      </c>
      <c r="D143" s="94"/>
      <c r="E143" s="79"/>
      <c r="F143" s="61">
        <v>1</v>
      </c>
      <c r="G143" s="201"/>
      <c r="R143" s="66"/>
      <c r="S143" s="66"/>
    </row>
    <row r="144" spans="1:19" s="65" customFormat="1" ht="15" customHeight="1">
      <c r="A144" s="55"/>
      <c r="B144" s="56"/>
      <c r="C144" s="57" t="s">
        <v>764</v>
      </c>
      <c r="D144" s="94"/>
      <c r="E144" s="79"/>
      <c r="F144" s="61">
        <v>1.65</v>
      </c>
      <c r="G144" s="201"/>
      <c r="R144" s="66">
        <v>0</v>
      </c>
      <c r="S144" s="66">
        <v>0</v>
      </c>
    </row>
    <row r="145" spans="1:19" s="65" customFormat="1" ht="15" customHeight="1">
      <c r="A145" s="55"/>
      <c r="B145" s="56"/>
      <c r="C145" s="57" t="s">
        <v>765</v>
      </c>
      <c r="D145" s="94"/>
      <c r="E145" s="79"/>
      <c r="F145" s="61">
        <v>1.85</v>
      </c>
      <c r="G145" s="201"/>
      <c r="R145" s="66"/>
      <c r="S145" s="66"/>
    </row>
    <row r="146" spans="1:19" s="65" customFormat="1" ht="30">
      <c r="A146" s="55"/>
      <c r="B146" s="132" t="s">
        <v>766</v>
      </c>
      <c r="C146" s="157" t="s">
        <v>767</v>
      </c>
      <c r="D146" s="94"/>
      <c r="E146" s="79" t="s">
        <v>506</v>
      </c>
      <c r="F146" s="61">
        <v>0.25</v>
      </c>
      <c r="G146" s="159" t="s">
        <v>768</v>
      </c>
      <c r="R146" s="66"/>
      <c r="S146" s="66"/>
    </row>
    <row r="147" spans="1:19" s="65" customFormat="1" ht="45">
      <c r="A147" s="131"/>
      <c r="B147" s="132" t="s">
        <v>769</v>
      </c>
      <c r="C147" s="157" t="s">
        <v>770</v>
      </c>
      <c r="D147" s="134"/>
      <c r="E147" s="135"/>
      <c r="F147" s="207"/>
      <c r="G147" s="159" t="s">
        <v>771</v>
      </c>
      <c r="R147" s="66" t="e">
        <f>#VALUE!</f>
        <v>#VALUE!</v>
      </c>
      <c r="S147" s="66">
        <v>0</v>
      </c>
    </row>
    <row r="148" spans="1:19" s="65" customFormat="1" ht="15" customHeight="1">
      <c r="A148" s="55"/>
      <c r="B148" s="56" t="s">
        <v>772</v>
      </c>
      <c r="C148" s="57" t="s">
        <v>773</v>
      </c>
      <c r="D148" s="94">
        <v>2170</v>
      </c>
      <c r="E148" s="79" t="s">
        <v>16</v>
      </c>
      <c r="F148" s="61"/>
      <c r="G148" s="201"/>
      <c r="R148" s="66"/>
      <c r="S148" s="66"/>
    </row>
    <row r="149" spans="1:19" s="65" customFormat="1" ht="15" customHeight="1">
      <c r="A149" s="55"/>
      <c r="B149" s="56" t="s">
        <v>774</v>
      </c>
      <c r="C149" s="57" t="s">
        <v>775</v>
      </c>
      <c r="D149" s="94">
        <v>1891.73</v>
      </c>
      <c r="E149" s="79" t="s">
        <v>16</v>
      </c>
      <c r="F149" s="61"/>
      <c r="G149" s="201"/>
      <c r="R149" s="66" t="e">
        <f>#VALUE!</f>
        <v>#VALUE!</v>
      </c>
      <c r="S149" s="66">
        <v>0</v>
      </c>
    </row>
    <row r="150" spans="1:19" s="65" customFormat="1" ht="15" customHeight="1">
      <c r="A150" s="194">
        <v>11</v>
      </c>
      <c r="B150" s="195"/>
      <c r="C150" s="196" t="s">
        <v>776</v>
      </c>
      <c r="D150" s="197"/>
      <c r="E150" s="198"/>
      <c r="F150" s="199"/>
      <c r="G150" s="200"/>
      <c r="R150" s="66"/>
      <c r="S150" s="66"/>
    </row>
    <row r="151" spans="1:19" s="65" customFormat="1" ht="15" customHeight="1">
      <c r="A151" s="55"/>
      <c r="B151" s="132" t="s">
        <v>777</v>
      </c>
      <c r="C151" s="133" t="s">
        <v>778</v>
      </c>
      <c r="D151" s="94"/>
      <c r="E151" s="79"/>
      <c r="F151" s="61"/>
      <c r="G151" s="6" t="s">
        <v>779</v>
      </c>
      <c r="R151" s="66" t="e">
        <f>#VALUE!</f>
        <v>#VALUE!</v>
      </c>
      <c r="S151" s="66">
        <v>0</v>
      </c>
    </row>
    <row r="152" spans="1:19" s="65" customFormat="1" ht="15" customHeight="1">
      <c r="A152" s="55"/>
      <c r="B152" s="56" t="s">
        <v>780</v>
      </c>
      <c r="C152" s="57" t="s">
        <v>781</v>
      </c>
      <c r="D152" s="94">
        <v>1700</v>
      </c>
      <c r="E152" s="79" t="s">
        <v>16</v>
      </c>
      <c r="F152" s="61"/>
      <c r="G152" s="6"/>
      <c r="R152" s="66" t="e">
        <f>#VALUE!</f>
        <v>#VALUE!</v>
      </c>
      <c r="S152" s="66">
        <v>0</v>
      </c>
    </row>
    <row r="153" spans="1:19" s="65" customFormat="1" ht="14.25" customHeight="1">
      <c r="A153" s="55"/>
      <c r="B153" s="56" t="s">
        <v>782</v>
      </c>
      <c r="C153" s="57" t="s">
        <v>783</v>
      </c>
      <c r="D153" s="94">
        <v>2800</v>
      </c>
      <c r="E153" s="79" t="s">
        <v>16</v>
      </c>
      <c r="F153" s="61"/>
      <c r="G153" s="6"/>
      <c r="R153" s="66"/>
      <c r="S153" s="66"/>
    </row>
    <row r="154" spans="1:19" s="65" customFormat="1">
      <c r="A154" s="55"/>
      <c r="B154" s="132" t="s">
        <v>784</v>
      </c>
      <c r="C154" s="133" t="s">
        <v>785</v>
      </c>
      <c r="D154" s="94"/>
      <c r="E154" s="79"/>
      <c r="F154" s="61"/>
      <c r="G154" s="6"/>
      <c r="R154" s="66" t="e">
        <f>#VALUE!</f>
        <v>#VALUE!</v>
      </c>
      <c r="S154" s="66">
        <v>0</v>
      </c>
    </row>
    <row r="155" spans="1:19" s="65" customFormat="1">
      <c r="A155" s="55"/>
      <c r="B155" s="56" t="s">
        <v>786</v>
      </c>
      <c r="C155" s="57" t="s">
        <v>787</v>
      </c>
      <c r="D155" s="94">
        <v>1800</v>
      </c>
      <c r="E155" s="79" t="s">
        <v>16</v>
      </c>
      <c r="F155" s="61"/>
      <c r="G155" s="6"/>
      <c r="R155" s="66" t="e">
        <f>#VALUE!</f>
        <v>#VALUE!</v>
      </c>
      <c r="S155" s="66">
        <v>0</v>
      </c>
    </row>
    <row r="156" spans="1:19" s="65" customFormat="1">
      <c r="A156" s="55"/>
      <c r="B156" s="132" t="s">
        <v>788</v>
      </c>
      <c r="C156" s="133" t="s">
        <v>789</v>
      </c>
      <c r="D156" s="94"/>
      <c r="E156" s="79"/>
      <c r="F156" s="61"/>
      <c r="G156" s="6"/>
      <c r="R156" s="66" t="e">
        <f>#VALUE!</f>
        <v>#VALUE!</v>
      </c>
      <c r="S156" s="66">
        <v>0</v>
      </c>
    </row>
    <row r="157" spans="1:19" s="65" customFormat="1">
      <c r="A157" s="55"/>
      <c r="B157" s="56" t="s">
        <v>790</v>
      </c>
      <c r="C157" s="57" t="s">
        <v>791</v>
      </c>
      <c r="D157" s="94">
        <v>1800</v>
      </c>
      <c r="E157" s="79" t="s">
        <v>16</v>
      </c>
      <c r="F157" s="61"/>
      <c r="G157" s="6"/>
      <c r="R157" s="66" t="e">
        <f>#VALUE!</f>
        <v>#VALUE!</v>
      </c>
      <c r="S157" s="66">
        <v>0</v>
      </c>
    </row>
    <row r="158" spans="1:19" s="65" customFormat="1">
      <c r="A158" s="55"/>
      <c r="B158" s="56" t="s">
        <v>792</v>
      </c>
      <c r="C158" s="57" t="s">
        <v>793</v>
      </c>
      <c r="D158" s="94">
        <v>2900</v>
      </c>
      <c r="E158" s="79" t="s">
        <v>16</v>
      </c>
      <c r="F158" s="61"/>
      <c r="G158" s="6"/>
      <c r="R158" s="66" t="e">
        <f>#VALUE!</f>
        <v>#VALUE!</v>
      </c>
      <c r="S158" s="66">
        <v>0</v>
      </c>
    </row>
    <row r="159" spans="1:19" s="65" customFormat="1" ht="15" customHeight="1">
      <c r="A159" s="194">
        <v>12</v>
      </c>
      <c r="B159" s="195"/>
      <c r="C159" s="196" t="s">
        <v>794</v>
      </c>
      <c r="D159" s="197"/>
      <c r="E159" s="198"/>
      <c r="F159" s="199"/>
      <c r="G159" s="200"/>
      <c r="R159" s="66"/>
      <c r="S159" s="66"/>
    </row>
    <row r="160" spans="1:19" s="65" customFormat="1" ht="15" customHeight="1">
      <c r="A160" s="55"/>
      <c r="B160" s="132" t="s">
        <v>795</v>
      </c>
      <c r="C160" s="133" t="s">
        <v>796</v>
      </c>
      <c r="D160" s="94"/>
      <c r="E160" s="79"/>
      <c r="F160" s="61"/>
      <c r="G160" s="6" t="s">
        <v>797</v>
      </c>
      <c r="R160" s="66"/>
      <c r="S160" s="66"/>
    </row>
    <row r="161" spans="1:19" s="65" customFormat="1" ht="15" customHeight="1">
      <c r="A161" s="55"/>
      <c r="B161" s="56" t="s">
        <v>798</v>
      </c>
      <c r="C161" s="57" t="s">
        <v>649</v>
      </c>
      <c r="D161" s="94">
        <v>7.68</v>
      </c>
      <c r="E161" s="60" t="s">
        <v>21</v>
      </c>
      <c r="F161" s="61"/>
      <c r="G161" s="6"/>
      <c r="R161" s="66" t="e">
        <f>#VALUE!</f>
        <v>#VALUE!</v>
      </c>
      <c r="S161" s="66">
        <v>0</v>
      </c>
    </row>
    <row r="162" spans="1:19" s="65" customFormat="1" ht="15" customHeight="1">
      <c r="A162" s="55"/>
      <c r="B162" s="56" t="s">
        <v>799</v>
      </c>
      <c r="C162" s="57" t="s">
        <v>800</v>
      </c>
      <c r="D162" s="94">
        <v>5.93</v>
      </c>
      <c r="E162" s="60" t="s">
        <v>21</v>
      </c>
      <c r="F162" s="61"/>
      <c r="G162" s="6"/>
      <c r="R162" s="66" t="e">
        <f>#VALUE!</f>
        <v>#VALUE!</v>
      </c>
      <c r="S162" s="66">
        <v>0</v>
      </c>
    </row>
    <row r="163" spans="1:19" s="65" customFormat="1" ht="15" customHeight="1">
      <c r="A163" s="55"/>
      <c r="B163" s="56" t="s">
        <v>801</v>
      </c>
      <c r="C163" s="57" t="s">
        <v>645</v>
      </c>
      <c r="D163" s="94">
        <v>6.82</v>
      </c>
      <c r="E163" s="60" t="s">
        <v>21</v>
      </c>
      <c r="F163" s="61"/>
      <c r="G163" s="6"/>
      <c r="R163" s="66" t="e">
        <f>#VALUE!</f>
        <v>#VALUE!</v>
      </c>
      <c r="S163" s="66">
        <v>0</v>
      </c>
    </row>
    <row r="164" spans="1:19" s="65" customFormat="1" ht="15" customHeight="1">
      <c r="A164" s="55"/>
      <c r="B164" s="56" t="s">
        <v>802</v>
      </c>
      <c r="C164" s="57" t="s">
        <v>803</v>
      </c>
      <c r="D164" s="94">
        <v>5.93</v>
      </c>
      <c r="E164" s="60" t="s">
        <v>21</v>
      </c>
      <c r="F164" s="61"/>
      <c r="G164" s="6"/>
      <c r="R164" s="66" t="e">
        <f>#VALUE!</f>
        <v>#VALUE!</v>
      </c>
      <c r="S164" s="66">
        <v>0</v>
      </c>
    </row>
    <row r="165" spans="1:19" s="65" customFormat="1" ht="15" customHeight="1">
      <c r="A165" s="55"/>
      <c r="B165" s="56" t="s">
        <v>804</v>
      </c>
      <c r="C165" s="57" t="s">
        <v>641</v>
      </c>
      <c r="D165" s="94">
        <v>5.93</v>
      </c>
      <c r="E165" s="60" t="s">
        <v>21</v>
      </c>
      <c r="F165" s="61"/>
      <c r="G165" s="6"/>
      <c r="R165" s="66" t="e">
        <f>#VALUE!</f>
        <v>#VALUE!</v>
      </c>
      <c r="S165" s="66">
        <v>0</v>
      </c>
    </row>
    <row r="166" spans="1:19" s="65" customFormat="1" ht="15" customHeight="1">
      <c r="A166" s="55"/>
      <c r="B166" s="56" t="s">
        <v>805</v>
      </c>
      <c r="C166" s="57" t="s">
        <v>806</v>
      </c>
      <c r="D166" s="94">
        <v>5.12</v>
      </c>
      <c r="E166" s="60" t="s">
        <v>21</v>
      </c>
      <c r="F166" s="61"/>
      <c r="G166" s="6"/>
      <c r="R166" s="66" t="e">
        <f>#VALUE!</f>
        <v>#VALUE!</v>
      </c>
      <c r="S166" s="66">
        <v>0</v>
      </c>
    </row>
    <row r="167" spans="1:19" s="65" customFormat="1" ht="15" customHeight="1">
      <c r="A167" s="55"/>
      <c r="B167" s="56" t="s">
        <v>807</v>
      </c>
      <c r="C167" s="57" t="s">
        <v>651</v>
      </c>
      <c r="D167" s="94">
        <v>11.69</v>
      </c>
      <c r="E167" s="60" t="s">
        <v>21</v>
      </c>
      <c r="F167" s="61"/>
      <c r="G167" s="6"/>
      <c r="R167" s="66" t="e">
        <f>#VALUE!</f>
        <v>#VALUE!</v>
      </c>
      <c r="S167" s="66">
        <v>0</v>
      </c>
    </row>
    <row r="168" spans="1:19" s="65" customFormat="1" ht="15" customHeight="1">
      <c r="A168" s="55"/>
      <c r="B168" s="132" t="s">
        <v>808</v>
      </c>
      <c r="C168" s="133" t="s">
        <v>809</v>
      </c>
      <c r="D168" s="94"/>
      <c r="E168" s="79"/>
      <c r="F168" s="61"/>
      <c r="G168" s="6"/>
      <c r="R168" s="66" t="e">
        <f>#VALUE!</f>
        <v>#VALUE!</v>
      </c>
      <c r="S168" s="66">
        <v>0</v>
      </c>
    </row>
    <row r="169" spans="1:19" s="65" customFormat="1" ht="15" customHeight="1">
      <c r="A169" s="55"/>
      <c r="B169" s="56" t="s">
        <v>810</v>
      </c>
      <c r="C169" s="57" t="s">
        <v>811</v>
      </c>
      <c r="D169" s="94"/>
      <c r="E169" s="79" t="s">
        <v>506</v>
      </c>
      <c r="F169" s="61">
        <v>0.5</v>
      </c>
      <c r="G169" s="6"/>
      <c r="R169" s="66"/>
      <c r="S169" s="66"/>
    </row>
    <row r="170" spans="1:19" ht="15" customHeight="1">
      <c r="A170" s="216"/>
      <c r="B170" s="217" t="s">
        <v>812</v>
      </c>
      <c r="C170" s="218" t="s">
        <v>813</v>
      </c>
      <c r="D170" s="219"/>
      <c r="E170" s="220" t="s">
        <v>506</v>
      </c>
      <c r="F170" s="221">
        <v>0.5</v>
      </c>
      <c r="G170" s="6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6" t="e">
        <f>#VALUE!</f>
        <v>#VALUE!</v>
      </c>
      <c r="S170" s="66">
        <v>0</v>
      </c>
    </row>
  </sheetData>
  <mergeCells count="7">
    <mergeCell ref="G151:G158"/>
    <mergeCell ref="G160:G170"/>
    <mergeCell ref="C2:G2"/>
    <mergeCell ref="C3:G3"/>
    <mergeCell ref="E5:F5"/>
    <mergeCell ref="E6:F6"/>
    <mergeCell ref="G20:G22"/>
  </mergeCells>
  <printOptions horizontalCentered="1" gridLines="1"/>
  <pageMargins left="0.196527777777778" right="0.196527777777778" top="1.18055555555556" bottom="0.98402777777777795" header="0.98402777777777795" footer="0"/>
  <pageSetup paperSize="9" scale="51" fitToHeight="0" orientation="portrait" horizontalDpi="300" verticalDpi="300" r:id="rId1"/>
  <headerFooter>
    <oddHeader>&amp;RPÁGINA: &amp;P DE &amp;N</oddHeader>
    <oddFooter>&amp;LCarimbo e Assinatura
Responsável Técnico&amp;CCarimbo e Assinatura
Responsável pela Verificação&amp;RCarimbo e Assinatura 
Responsável pela Aprovação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58"/>
  <sheetViews>
    <sheetView view="pageBreakPreview" topLeftCell="A28" zoomScale="65" zoomScaleNormal="85" zoomScalePageLayoutView="65" workbookViewId="0">
      <selection activeCell="A28" sqref="A28"/>
    </sheetView>
  </sheetViews>
  <sheetFormatPr defaultColWidth="8.7109375" defaultRowHeight="15" customHeight="1"/>
  <cols>
    <col min="2" max="2" width="71.5703125" customWidth="1"/>
    <col min="3" max="4" width="20.5703125" customWidth="1"/>
    <col min="5" max="5" width="20.28515625" customWidth="1"/>
    <col min="6" max="8" width="18.5703125" customWidth="1"/>
    <col min="9" max="9" width="22" customWidth="1"/>
    <col min="10" max="10" width="15" customWidth="1"/>
    <col min="11" max="11" width="14.5703125" customWidth="1"/>
  </cols>
  <sheetData>
    <row r="1" spans="1:11" ht="26.25" customHeight="1">
      <c r="B1" s="222" t="s">
        <v>814</v>
      </c>
      <c r="C1" s="223" t="s">
        <v>815</v>
      </c>
      <c r="D1" s="224">
        <f>D2/1000</f>
        <v>33.080332199999994</v>
      </c>
      <c r="E1" s="223" t="s">
        <v>816</v>
      </c>
      <c r="F1" s="225">
        <f>D2*(2+8+2)</f>
        <v>396963.98639999994</v>
      </c>
      <c r="G1" s="226"/>
      <c r="H1" s="226"/>
      <c r="I1" s="227" t="s">
        <v>817</v>
      </c>
    </row>
    <row r="2" spans="1:11" ht="30">
      <c r="B2" s="5"/>
      <c r="C2" s="223" t="s">
        <v>818</v>
      </c>
      <c r="D2" s="228">
        <v>33080.332199999997</v>
      </c>
      <c r="E2" s="229" t="s">
        <v>819</v>
      </c>
      <c r="F2" s="230">
        <f>(D2/500)*25*5</f>
        <v>8270.0830499999975</v>
      </c>
      <c r="G2" s="226"/>
      <c r="H2" s="226"/>
      <c r="I2" s="231">
        <v>0.2374</v>
      </c>
    </row>
    <row r="3" spans="1:11" ht="28.5" customHeight="1">
      <c r="B3" s="5"/>
      <c r="C3" s="4" t="s">
        <v>820</v>
      </c>
      <c r="D3" s="4"/>
      <c r="E3" s="4"/>
      <c r="F3" s="4"/>
      <c r="G3" s="4"/>
      <c r="H3" s="4" t="s">
        <v>821</v>
      </c>
      <c r="I3" s="4"/>
      <c r="J3" s="3" t="s">
        <v>822</v>
      </c>
      <c r="K3" s="3"/>
    </row>
    <row r="4" spans="1:11" ht="52.5" customHeight="1">
      <c r="B4" s="232" t="s">
        <v>823</v>
      </c>
      <c r="C4" s="233" t="s">
        <v>824</v>
      </c>
      <c r="D4" s="233" t="s">
        <v>825</v>
      </c>
      <c r="E4" s="234" t="s">
        <v>826</v>
      </c>
      <c r="F4" s="234" t="s">
        <v>827</v>
      </c>
      <c r="G4" s="235" t="s">
        <v>828</v>
      </c>
      <c r="H4" s="235" t="s">
        <v>828</v>
      </c>
      <c r="I4" s="235" t="s">
        <v>829</v>
      </c>
      <c r="J4" s="236" t="s">
        <v>830</v>
      </c>
      <c r="K4" s="236" t="s">
        <v>831</v>
      </c>
    </row>
    <row r="5" spans="1:11" ht="6" customHeigh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7" customHeight="1">
      <c r="A6" s="1">
        <v>1</v>
      </c>
      <c r="B6" s="268" t="s">
        <v>832</v>
      </c>
      <c r="C6" s="238">
        <f>IF(J6=0,,IF(F6="m²",VLOOKUP(J6,'SECID PR_2024'!$B$9:$G$170,3,),IF(F6="km",VLOOKUP(J6,CEHOP_2025!$B$5:$I$253,3,),IF(F6="und.",VLOOKUP(J6,CEHOP_2025!$B$5:$I$253,3,)))))</f>
        <v>0</v>
      </c>
      <c r="D6" s="239">
        <f t="shared" ref="D6:D47" si="0">(C6*$I$2)+C6</f>
        <v>0</v>
      </c>
      <c r="E6" s="240"/>
      <c r="F6" s="241" t="s">
        <v>833</v>
      </c>
      <c r="G6" s="269">
        <f>D6*E6+D7*E7</f>
        <v>0</v>
      </c>
      <c r="H6" s="269"/>
      <c r="I6" s="270">
        <f>H6-G6</f>
        <v>0</v>
      </c>
      <c r="J6" s="242"/>
      <c r="K6" s="242" t="s">
        <v>834</v>
      </c>
    </row>
    <row r="7" spans="1:11" ht="27" customHeight="1">
      <c r="A7" s="1"/>
      <c r="B7" s="268"/>
      <c r="C7" s="238">
        <f>IF(K7=0,,IF(F7="m²",VLOOKUP(K7,CEHOP_2025!$B$5:$I$253,3,),IF(F7="km",VLOOKUP(K7,CEHOP_2025!$B$5:$I$253,3,),IF(F7="und.",VLOOKUP(K7,CEHOP_2025!$B$5:$I$253,3,)))))</f>
        <v>180</v>
      </c>
      <c r="D7" s="239">
        <f t="shared" si="0"/>
        <v>222.732</v>
      </c>
      <c r="E7" s="240"/>
      <c r="F7" s="241" t="s">
        <v>833</v>
      </c>
      <c r="G7" s="269"/>
      <c r="H7" s="269"/>
      <c r="I7" s="270"/>
      <c r="J7" s="242"/>
      <c r="K7" s="242" t="s">
        <v>351</v>
      </c>
    </row>
    <row r="8" spans="1:11" ht="16.5" customHeight="1">
      <c r="A8" s="1">
        <f>A6+1</f>
        <v>2</v>
      </c>
      <c r="B8" s="271" t="s">
        <v>835</v>
      </c>
      <c r="C8" s="244">
        <f>IF(J8=0,,IF(F8="m²",VLOOKUP(J8,'SECID PR_2024'!$B$9:$G$170,3,),IF(F8="km",VLOOKUP(J8,CEHOP_2025!$B$5:$I$253,3,),IF(F8="und.",VLOOKUP(J8,CEHOP_2025!$B$5:$I$253,3,)))))</f>
        <v>0.47</v>
      </c>
      <c r="D8" s="239">
        <f t="shared" si="0"/>
        <v>0.58157799999999993</v>
      </c>
      <c r="E8" s="245">
        <f>IF(F8="und.","1",IF(F8="km",$D$1,IF(F8="m²",$F$1,IF(F8="m",$D$2))))</f>
        <v>396963.98639999994</v>
      </c>
      <c r="F8" s="241" t="s">
        <v>836</v>
      </c>
      <c r="G8" s="272">
        <f>D8*E8+D9*E9</f>
        <v>216129655044.91965</v>
      </c>
      <c r="H8" s="272"/>
      <c r="I8" s="270">
        <f>H8-G8</f>
        <v>-216129655044.91965</v>
      </c>
      <c r="J8" s="242" t="s">
        <v>548</v>
      </c>
      <c r="K8" s="242" t="s">
        <v>450</v>
      </c>
    </row>
    <row r="9" spans="1:11" ht="16.5" customHeight="1">
      <c r="A9" s="1"/>
      <c r="B9" s="271"/>
      <c r="C9" s="238">
        <f>IF(K9=0,,IF(F9="m²",VLOOKUP(K9,CEHOP_2025!$B$5:$I$253,3,),IF(F9="km",VLOOKUP(K9,CEHOP_2025!$B$5:$I$253,3,),IF(F9="und.",VLOOKUP(K9,CEHOP_2025!$B$5:$I$253,3,)))))</f>
        <v>440000</v>
      </c>
      <c r="D9" s="239">
        <f t="shared" si="0"/>
        <v>544456</v>
      </c>
      <c r="E9" s="245">
        <f>IF(F9="und.","1",IF(F9="km",$D$1,IF(F9="m²",$F$1,IF(F9="m",$D$2))))</f>
        <v>396963.98639999994</v>
      </c>
      <c r="F9" s="241" t="s">
        <v>836</v>
      </c>
      <c r="G9" s="272"/>
      <c r="H9" s="272"/>
      <c r="I9" s="270"/>
      <c r="J9" s="242"/>
      <c r="K9" s="242" t="s">
        <v>445</v>
      </c>
    </row>
    <row r="10" spans="1:11" ht="21" customHeight="1">
      <c r="A10" s="1">
        <f>A8+1</f>
        <v>3</v>
      </c>
      <c r="B10" s="271" t="s">
        <v>837</v>
      </c>
      <c r="C10" s="238" t="e">
        <f>IF(K10=0,,IF(F10="m²",VLOOKUP(K10,CEHOP_2025!$B$5:$I$253,3,),IF(F10="km",VLOOKUP(K10,CEHOP_2025!$B$5:$I$253,3,),IF(F10="und.",VLOOKUP(K10,CEHOP_2025!$B$5:$I$253,3,)))))</f>
        <v>#N/A</v>
      </c>
      <c r="D10" s="239" t="e">
        <f t="shared" si="0"/>
        <v>#N/A</v>
      </c>
      <c r="E10" s="247">
        <f>ROUNDUP(D2/200,0)+50</f>
        <v>216</v>
      </c>
      <c r="F10" s="241" t="s">
        <v>833</v>
      </c>
      <c r="G10" s="272" t="e">
        <f>D10*E10+D11*E11</f>
        <v>#N/A</v>
      </c>
      <c r="H10" s="272"/>
      <c r="I10" s="270" t="e">
        <f>H10-G10</f>
        <v>#N/A</v>
      </c>
      <c r="J10" s="242"/>
      <c r="K10" s="242" t="s">
        <v>838</v>
      </c>
    </row>
    <row r="11" spans="1:11" ht="21" customHeight="1">
      <c r="A11" s="1"/>
      <c r="B11" s="271"/>
      <c r="C11" s="238" t="e">
        <f>IF(K11=0,,IF(F11="m²",VLOOKUP(K11,CEHOP_2025!$B$5:$I$253,3,),IF(F11="km",VLOOKUP(K11,CEHOP_2025!$B$5:$I$253,3,),IF(F11="und.",VLOOKUP(K11,CEHOP_2025!$B$5:$I$253,3,)))))</f>
        <v>#N/A</v>
      </c>
      <c r="D11" s="239" t="e">
        <f t="shared" si="0"/>
        <v>#N/A</v>
      </c>
      <c r="E11" s="247">
        <v>2</v>
      </c>
      <c r="F11" s="241" t="s">
        <v>833</v>
      </c>
      <c r="G11" s="272"/>
      <c r="H11" s="272"/>
      <c r="I11" s="270"/>
      <c r="J11" s="242"/>
      <c r="K11" s="242" t="s">
        <v>839</v>
      </c>
    </row>
    <row r="12" spans="1:11" ht="27" customHeight="1">
      <c r="A12">
        <v>4</v>
      </c>
      <c r="B12" s="243" t="s">
        <v>840</v>
      </c>
      <c r="C12" s="238">
        <f>IF(J12=0,,IF(F12="m²",VLOOKUP(J12,'SECID PR_2024'!$B$9:$G$170,3,),IF(F12="km",VLOOKUP(J12,CEHOP_2025!$B$5:$I$253,3,),IF(F12="und.",VLOOKUP(J12,'SECID PR_2024'!$B$9:$G$170,3,)))))</f>
        <v>500</v>
      </c>
      <c r="D12" s="239">
        <f t="shared" si="0"/>
        <v>618.70000000000005</v>
      </c>
      <c r="E12" s="247">
        <v>0</v>
      </c>
      <c r="F12" s="241" t="s">
        <v>833</v>
      </c>
      <c r="G12" s="246">
        <f>D12*E12</f>
        <v>0</v>
      </c>
      <c r="H12" s="246"/>
      <c r="I12" s="248">
        <f>H12-G12</f>
        <v>0</v>
      </c>
      <c r="J12" s="242" t="s">
        <v>540</v>
      </c>
      <c r="K12" s="242"/>
    </row>
    <row r="13" spans="1:11" ht="27" customHeight="1">
      <c r="A13">
        <v>6</v>
      </c>
      <c r="B13" s="243" t="s">
        <v>841</v>
      </c>
      <c r="C13" s="238" t="e">
        <f>IF(K13=0,,IF(F13="m²",VLOOKUP(K13,CEHOP_2025!$B$5:$I$253,3,)))</f>
        <v>#N/A</v>
      </c>
      <c r="D13" s="239" t="e">
        <f t="shared" si="0"/>
        <v>#N/A</v>
      </c>
      <c r="E13" s="249">
        <f>F1*7.5%</f>
        <v>29772.298979999992</v>
      </c>
      <c r="F13" s="241" t="s">
        <v>836</v>
      </c>
      <c r="G13" s="246" t="e">
        <f>D13*E13</f>
        <v>#N/A</v>
      </c>
      <c r="H13" s="246"/>
      <c r="I13" s="248" t="e">
        <f>H13-G13</f>
        <v>#N/A</v>
      </c>
      <c r="J13" s="242"/>
      <c r="K13" s="250" t="s">
        <v>842</v>
      </c>
    </row>
    <row r="14" spans="1:11" ht="22.5" customHeight="1">
      <c r="A14" s="1">
        <v>10</v>
      </c>
      <c r="B14" s="273" t="s">
        <v>843</v>
      </c>
      <c r="C14" s="238">
        <f>IF(K14=0,,IF(F14="m²",VLOOKUP(K14,CEHOP_2025!$B$5:$I$253,3,)))</f>
        <v>0</v>
      </c>
      <c r="D14" s="239">
        <f t="shared" si="0"/>
        <v>0</v>
      </c>
      <c r="E14" s="247"/>
      <c r="F14" s="241" t="s">
        <v>836</v>
      </c>
      <c r="G14" s="272">
        <f>D14*E14+D15*E15+D16*E16</f>
        <v>0</v>
      </c>
      <c r="H14" s="272"/>
      <c r="I14" s="274">
        <f>H14-G14</f>
        <v>0</v>
      </c>
      <c r="J14" s="242"/>
      <c r="K14" s="250"/>
    </row>
    <row r="15" spans="1:11" ht="22.5" customHeight="1">
      <c r="A15" s="1"/>
      <c r="B15" s="273"/>
      <c r="C15" s="238">
        <f>IF(K15=0,,IF(F15="m²",VLOOKUP(K15,CEHOP_2025!$B$5:$I$253,3,)))</f>
        <v>0</v>
      </c>
      <c r="D15" s="239">
        <f t="shared" si="0"/>
        <v>0</v>
      </c>
      <c r="E15" s="249">
        <f>IF(F15="km",$D$1,IF(F15="m²",$F$1,IF(F15="m",$D$2)))</f>
        <v>396963.98639999994</v>
      </c>
      <c r="F15" s="241" t="s">
        <v>836</v>
      </c>
      <c r="G15" s="272"/>
      <c r="H15" s="272"/>
      <c r="I15" s="274"/>
      <c r="J15" s="242"/>
      <c r="K15" s="242"/>
    </row>
    <row r="16" spans="1:11" ht="22.5" customHeight="1">
      <c r="A16" s="1"/>
      <c r="B16" s="273"/>
      <c r="C16" s="238">
        <f>IF(K16=0,,IF(F16="m²",VLOOKUP(K16,CEHOP_2025!$B$5:$I$253,3,)))</f>
        <v>0</v>
      </c>
      <c r="D16" s="239">
        <f t="shared" si="0"/>
        <v>0</v>
      </c>
      <c r="E16" s="249">
        <f>IF(F16="km",$D$1,IF(F16="m²",$F$1,IF(F16="m",$D$2)))</f>
        <v>396963.98639999994</v>
      </c>
      <c r="F16" s="241" t="s">
        <v>836</v>
      </c>
      <c r="G16" s="272"/>
      <c r="H16" s="272"/>
      <c r="I16" s="274"/>
      <c r="J16" s="242"/>
      <c r="K16" s="250"/>
    </row>
    <row r="17" spans="1:11" ht="27" customHeight="1">
      <c r="A17" s="1">
        <v>11</v>
      </c>
      <c r="B17" s="271" t="s">
        <v>844</v>
      </c>
      <c r="C17" s="238">
        <f>IF(K17=0,,IF(F17="und.",VLOOKUP(K17,CEHOP_2025!$B$5:$I$253,3,)))</f>
        <v>0</v>
      </c>
      <c r="D17" s="239">
        <f t="shared" si="0"/>
        <v>0</v>
      </c>
      <c r="E17" s="247">
        <v>1</v>
      </c>
      <c r="F17" s="241" t="s">
        <v>833</v>
      </c>
      <c r="G17" s="272">
        <f>D17*E17+D18*E18+D19*E19</f>
        <v>0</v>
      </c>
      <c r="H17" s="272"/>
      <c r="I17" s="274">
        <f>H17-G17</f>
        <v>0</v>
      </c>
      <c r="J17" s="242"/>
      <c r="K17" s="250"/>
    </row>
    <row r="18" spans="1:11" ht="26.25" customHeight="1">
      <c r="A18" s="1"/>
      <c r="B18" s="271"/>
      <c r="C18" s="238">
        <f>IF(K18=0,,IF(F18="und.",VLOOKUP(K18,CEHOP_2025!$B$5:$I$253,3,)))</f>
        <v>0</v>
      </c>
      <c r="D18" s="239">
        <f t="shared" si="0"/>
        <v>0</v>
      </c>
      <c r="E18" s="247">
        <v>1</v>
      </c>
      <c r="F18" s="241" t="s">
        <v>833</v>
      </c>
      <c r="G18" s="272"/>
      <c r="H18" s="272"/>
      <c r="I18" s="274"/>
      <c r="J18" s="242"/>
      <c r="K18" s="250"/>
    </row>
    <row r="19" spans="1:11" ht="27" customHeight="1">
      <c r="A19" s="1"/>
      <c r="B19" s="271"/>
      <c r="C19" s="238">
        <f>IF(K19=0,,IF(F19="und.",VLOOKUP(K19,CEHOP_2025!$B$5:$I$253,3,)))</f>
        <v>0</v>
      </c>
      <c r="D19" s="239">
        <f t="shared" si="0"/>
        <v>0</v>
      </c>
      <c r="E19" s="249">
        <f t="shared" ref="E19:E30" si="1">IF(F19="km",$D$1,IF(F19="m²",$F$1,IF(F19="m",$D$2)))</f>
        <v>33.080332199999994</v>
      </c>
      <c r="F19" s="241" t="s">
        <v>845</v>
      </c>
      <c r="G19" s="272"/>
      <c r="H19" s="272"/>
      <c r="I19" s="274"/>
      <c r="J19" s="242"/>
      <c r="K19" s="250"/>
    </row>
    <row r="20" spans="1:11" ht="27" customHeight="1">
      <c r="A20">
        <v>18</v>
      </c>
      <c r="B20" s="243" t="s">
        <v>846</v>
      </c>
      <c r="C20" s="238">
        <f>IF(K20=0,,IF(F20="km",VLOOKUP(K20,CEHOP_2025!$B$5:$I$253,3,),IF(F20="m²",VLOOKUP(K20,CEHOP_2025!$B$5:$I$253,3,))))</f>
        <v>2800000</v>
      </c>
      <c r="D20" s="239">
        <f t="shared" si="0"/>
        <v>3464720</v>
      </c>
      <c r="E20" s="249">
        <f t="shared" si="1"/>
        <v>396963.98639999994</v>
      </c>
      <c r="F20" s="240" t="s">
        <v>836</v>
      </c>
      <c r="G20" s="246">
        <f>D20*E20</f>
        <v>1375369062959.8079</v>
      </c>
      <c r="H20" s="246"/>
      <c r="I20" s="248">
        <f>H20-G20</f>
        <v>-1375369062959.8079</v>
      </c>
      <c r="J20" s="242"/>
      <c r="K20" s="242" t="s">
        <v>283</v>
      </c>
    </row>
    <row r="21" spans="1:11" ht="27" customHeight="1">
      <c r="A21" s="237">
        <v>19</v>
      </c>
      <c r="B21" s="243" t="s">
        <v>847</v>
      </c>
      <c r="C21" s="238">
        <f>IF(K21=0,,IF(F21="km",VLOOKUP(K21,CEHOP_2025!$B$5:$I$253,3,),IF(F21="m²",VLOOKUP(K21,CEHOP_2025!$B$5:$I$253,3,))))</f>
        <v>2800000</v>
      </c>
      <c r="D21" s="239">
        <f t="shared" si="0"/>
        <v>3464720</v>
      </c>
      <c r="E21" s="249">
        <f t="shared" si="1"/>
        <v>396963.98639999994</v>
      </c>
      <c r="F21" s="240" t="s">
        <v>836</v>
      </c>
      <c r="G21" s="252">
        <f>D21*E21</f>
        <v>1375369062959.8079</v>
      </c>
      <c r="H21" s="252"/>
      <c r="I21" s="253">
        <f>H21-G21</f>
        <v>-1375369062959.8079</v>
      </c>
      <c r="J21" s="242"/>
      <c r="K21" s="242" t="s">
        <v>283</v>
      </c>
    </row>
    <row r="22" spans="1:11" ht="27" customHeight="1">
      <c r="A22" s="1">
        <v>20</v>
      </c>
      <c r="B22" s="271" t="s">
        <v>848</v>
      </c>
      <c r="C22" s="238">
        <f>IF(K22=0,,IF(F22="m²",VLOOKUP(K22,CEHOP_2025!$B$5:$I$253,3,),IF(F22="km",VLOOKUP(K22,CEHOP_2025!$B$5:$I$253,3,))))</f>
        <v>0</v>
      </c>
      <c r="D22" s="239">
        <f t="shared" si="0"/>
        <v>0</v>
      </c>
      <c r="E22" s="249">
        <f t="shared" si="1"/>
        <v>396963.98639999994</v>
      </c>
      <c r="F22" s="241" t="s">
        <v>836</v>
      </c>
      <c r="G22" s="272" t="e">
        <f>D22*E22+D23*E23</f>
        <v>#N/A</v>
      </c>
      <c r="H22" s="272"/>
      <c r="I22" s="270" t="e">
        <f>H22-G22</f>
        <v>#N/A</v>
      </c>
      <c r="J22" s="242"/>
      <c r="K22" s="250"/>
    </row>
    <row r="23" spans="1:11" ht="27" customHeight="1">
      <c r="A23" s="1"/>
      <c r="B23" s="271"/>
      <c r="C23" s="238" t="e">
        <f>IF(K23=0,,IF(F23="m²",VLOOKUP(K23,CEHOP_2025!$B$5:$I$253,3,),IF(F23="km",VLOOKUP(K23,CEHOP_2025!$B$5:$I$253,3,))))</f>
        <v>#N/A</v>
      </c>
      <c r="D23" s="239" t="e">
        <f t="shared" si="0"/>
        <v>#N/A</v>
      </c>
      <c r="E23" s="249">
        <f t="shared" si="1"/>
        <v>33.080332199999994</v>
      </c>
      <c r="F23" s="241" t="s">
        <v>845</v>
      </c>
      <c r="G23" s="272"/>
      <c r="H23" s="272"/>
      <c r="I23" s="270"/>
      <c r="J23" s="242"/>
      <c r="K23" s="242" t="s">
        <v>849</v>
      </c>
    </row>
    <row r="24" spans="1:11" ht="18.75" customHeight="1">
      <c r="A24" s="1">
        <v>21</v>
      </c>
      <c r="B24" s="271" t="s">
        <v>850</v>
      </c>
      <c r="C24" s="238">
        <f>IF(K24=0,,IF(F24="m²",VLOOKUP(K24,CEHOP_2025!$B$5:$I$253,3,),IF(F24="km",VLOOKUP(K24,CEHOP_2025!$B$5:$I$253,3,))))</f>
        <v>0</v>
      </c>
      <c r="D24" s="239">
        <f t="shared" si="0"/>
        <v>0</v>
      </c>
      <c r="E24" s="249">
        <f t="shared" si="1"/>
        <v>396963.98639999994</v>
      </c>
      <c r="F24" s="241" t="s">
        <v>836</v>
      </c>
      <c r="G24" s="272" t="e">
        <f>D24*E24+D25*E25+D26*E26+D27*E27</f>
        <v>#N/A</v>
      </c>
      <c r="H24" s="272"/>
      <c r="I24" s="274" t="e">
        <f>H24-G24</f>
        <v>#N/A</v>
      </c>
      <c r="J24" s="242"/>
      <c r="K24" s="250"/>
    </row>
    <row r="25" spans="1:11" ht="18.75" customHeight="1">
      <c r="A25" s="1"/>
      <c r="B25" s="271"/>
      <c r="C25" s="238">
        <f>IF(K25=0,,IF(F25="m²",VLOOKUP(K25,CEHOP_2025!$B$5:$I$253,3,),IF(F25="km",VLOOKUP(K25,CEHOP_2025!$B$5:$I$253,3,))))</f>
        <v>0</v>
      </c>
      <c r="D25" s="239">
        <f t="shared" si="0"/>
        <v>0</v>
      </c>
      <c r="E25" s="249">
        <f t="shared" si="1"/>
        <v>396963.98639999994</v>
      </c>
      <c r="F25" s="241" t="s">
        <v>836</v>
      </c>
      <c r="G25" s="272"/>
      <c r="H25" s="272"/>
      <c r="I25" s="274"/>
      <c r="J25" s="242"/>
      <c r="K25" s="250"/>
    </row>
    <row r="26" spans="1:11" ht="18.75" customHeight="1">
      <c r="A26" s="1"/>
      <c r="B26" s="271"/>
      <c r="C26" s="238">
        <f>IF(K26=0,,IF(F26="m²",VLOOKUP(K26,CEHOP_2025!$B$5:$I$253,3,),IF(F26="km",VLOOKUP(K26,CEHOP_2025!$B$5:$I$253,3,))))</f>
        <v>0</v>
      </c>
      <c r="D26" s="239">
        <f t="shared" si="0"/>
        <v>0</v>
      </c>
      <c r="E26" s="249">
        <f t="shared" si="1"/>
        <v>33.080332199999994</v>
      </c>
      <c r="F26" s="241" t="s">
        <v>845</v>
      </c>
      <c r="G26" s="272"/>
      <c r="H26" s="272"/>
      <c r="I26" s="274"/>
      <c r="J26" s="242"/>
      <c r="K26" s="242"/>
    </row>
    <row r="27" spans="1:11" ht="18.75" customHeight="1">
      <c r="A27" s="1"/>
      <c r="B27" s="271"/>
      <c r="C27" s="238" t="e">
        <f>IF(K27=0,,IF(F27="m²",VLOOKUP(K27,CEHOP_2025!$B$5:$I$253,3,),IF(F27="km",VLOOKUP(K27,CEHOP_2025!$B$5:$I$253,3,))))</f>
        <v>#N/A</v>
      </c>
      <c r="D27" s="239" t="e">
        <f t="shared" si="0"/>
        <v>#N/A</v>
      </c>
      <c r="E27" s="249">
        <f t="shared" si="1"/>
        <v>33.080332199999994</v>
      </c>
      <c r="F27" s="241" t="s">
        <v>845</v>
      </c>
      <c r="G27" s="272"/>
      <c r="H27" s="272"/>
      <c r="I27" s="274"/>
      <c r="J27" s="242"/>
      <c r="K27" s="242" t="s">
        <v>851</v>
      </c>
    </row>
    <row r="28" spans="1:11" ht="18.75" customHeight="1">
      <c r="A28" s="1">
        <v>22</v>
      </c>
      <c r="B28" s="275" t="s">
        <v>852</v>
      </c>
      <c r="C28" s="238">
        <f>IF(K28=0,,IF(F28="m²",VLOOKUP(K28,CEHOP_2025!$B$5:$I$253,3,),IF(F28="km",VLOOKUP(K28,CEHOP_2025!$B$5:$I$253,3,),IF(F28="Und.",VLOOKUP(K28,CEHOP_2025!$B$5:$I$253,3,),IF(F28="m",VLOOKUP(K28,CEHOP_2025!$B$5:$I$253,3,))))))</f>
        <v>0</v>
      </c>
      <c r="D28" s="239">
        <f t="shared" si="0"/>
        <v>0</v>
      </c>
      <c r="E28" s="249" t="b">
        <f t="shared" si="1"/>
        <v>0</v>
      </c>
      <c r="F28" s="240"/>
      <c r="G28" s="272">
        <f>D28*E28+D29*E29+D30*E30+D31*E31</f>
        <v>460503034.47314984</v>
      </c>
      <c r="H28" s="272"/>
      <c r="I28" s="274">
        <f>H28-G28</f>
        <v>-460503034.47314984</v>
      </c>
      <c r="J28" s="255"/>
      <c r="K28" s="242"/>
    </row>
    <row r="29" spans="1:11" ht="18.75" customHeight="1">
      <c r="A29" s="1"/>
      <c r="B29" s="275"/>
      <c r="C29" s="238">
        <f>IF(K29=0,,IF(F29="m²",VLOOKUP(K29,CEHOP_2025!$B$5:$I$253,3,),IF(F29="km",VLOOKUP(K29,CEHOP_2025!$B$5:$I$253,3,),IF(F29="Und.",VLOOKUP(K29,CEHOP_2025!$B$5:$I$253,3,),IF(F29="m",VLOOKUP(K29,CEHOP_2025!$B$5:$I$253,3,))))))</f>
        <v>0</v>
      </c>
      <c r="D29" s="239">
        <f t="shared" si="0"/>
        <v>0</v>
      </c>
      <c r="E29" s="249" t="b">
        <f t="shared" si="1"/>
        <v>0</v>
      </c>
      <c r="F29" s="240"/>
      <c r="G29" s="272"/>
      <c r="H29" s="272"/>
      <c r="I29" s="274"/>
      <c r="J29" s="255"/>
      <c r="K29" s="242"/>
    </row>
    <row r="30" spans="1:11" ht="18.75" customHeight="1">
      <c r="A30" s="1"/>
      <c r="B30" s="275"/>
      <c r="C30" s="238">
        <f>IF(K30=0,,IF(F30="m²",VLOOKUP(K30,CEHOP_2025!$B$5:$I$253,3,),IF(F30="km",VLOOKUP(K30,CEHOP_2025!$B$5:$I$253,3,),IF(F30="Und.",VLOOKUP(K30,CEHOP_2025!$B$5:$I$253,3,),IF(F30="m",VLOOKUP(K30,CEHOP_2025!$B$5:$I$253,3,))))))</f>
        <v>0</v>
      </c>
      <c r="D30" s="239">
        <f t="shared" si="0"/>
        <v>0</v>
      </c>
      <c r="E30" s="249" t="b">
        <f t="shared" si="1"/>
        <v>0</v>
      </c>
      <c r="F30" s="240"/>
      <c r="G30" s="272"/>
      <c r="H30" s="272"/>
      <c r="I30" s="274"/>
      <c r="J30" s="255"/>
      <c r="K30" s="242"/>
    </row>
    <row r="31" spans="1:11" ht="18.75" customHeight="1">
      <c r="A31" s="1"/>
      <c r="B31" s="275"/>
      <c r="C31" s="238">
        <f>IF(K31=0,,IF(F31="m²",VLOOKUP(K31,CEHOP_2025!$B$5:$I$253,3,),IF(F31="km",VLOOKUP(K31,CEHOP_2025!$B$5:$I$253,3,),IF(F31="Und.",VLOOKUP(K31,CEHOP_2025!$B$5:$I$253,3,),IF(F31="m",VLOOKUP(K31,CEHOP_2025!$B$5:$I$253,3,))))))</f>
        <v>45000</v>
      </c>
      <c r="D31" s="239">
        <f t="shared" si="0"/>
        <v>55683</v>
      </c>
      <c r="E31" s="249">
        <f>IF(F31="km",$D$1,IF(F31="m²",$F$2,IF(F31="m",$D$2)))</f>
        <v>8270.0830499999975</v>
      </c>
      <c r="F31" s="241" t="s">
        <v>836</v>
      </c>
      <c r="G31" s="272"/>
      <c r="H31" s="272"/>
      <c r="I31" s="274"/>
      <c r="J31" s="242"/>
      <c r="K31" s="242" t="s">
        <v>332</v>
      </c>
    </row>
    <row r="32" spans="1:11" ht="27" customHeight="1">
      <c r="A32">
        <v>23</v>
      </c>
      <c r="B32" s="254" t="s">
        <v>853</v>
      </c>
      <c r="C32" s="238">
        <f>IF(K32=0,,IF(F32="m²",VLOOKUP(K32,CEHOP_2025!$B$5:$I$253,3,),IF(F32="km",VLOOKUP(K32,CEHOP_2025!$B$5:$I$253,3,))))</f>
        <v>158.58748626102499</v>
      </c>
      <c r="D32" s="239">
        <f t="shared" si="0"/>
        <v>196.23615549939234</v>
      </c>
      <c r="E32" s="249">
        <f t="shared" ref="E32:E37" si="2">IF(F32="km",$D$1,IF(F32="m²",$F$1,IF(F32="m",$D$2)))</f>
        <v>33.080332199999994</v>
      </c>
      <c r="F32" s="241" t="s">
        <v>845</v>
      </c>
      <c r="G32" s="246">
        <f t="shared" ref="G32:G40" si="3">D32*E32</f>
        <v>6491.5572135707544</v>
      </c>
      <c r="H32" s="246"/>
      <c r="I32" s="248">
        <f t="shared" ref="I32:I41" si="4">H32-G32</f>
        <v>-6491.5572135707544</v>
      </c>
      <c r="J32" s="242"/>
      <c r="K32" s="242" t="s">
        <v>335</v>
      </c>
    </row>
    <row r="33" spans="1:12" ht="36" customHeight="1">
      <c r="A33">
        <v>24</v>
      </c>
      <c r="B33" s="254" t="s">
        <v>854</v>
      </c>
      <c r="C33" s="238">
        <f>IF(K33=0,,IF(F33="m²",VLOOKUP(K33,CEHOP_2025!$B$5:$I$253,3,),IF(F33="km",VLOOKUP(K33,CEHOP_2025!$B$5:$I$253,3,))))</f>
        <v>158.58748626102499</v>
      </c>
      <c r="D33" s="239">
        <f t="shared" si="0"/>
        <v>196.23615549939234</v>
      </c>
      <c r="E33" s="249">
        <f t="shared" si="2"/>
        <v>33.080332199999994</v>
      </c>
      <c r="F33" s="241" t="s">
        <v>845</v>
      </c>
      <c r="G33" s="246">
        <f t="shared" si="3"/>
        <v>6491.5572135707544</v>
      </c>
      <c r="H33" s="246"/>
      <c r="I33" s="248">
        <f t="shared" si="4"/>
        <v>-6491.5572135707544</v>
      </c>
      <c r="J33" s="242"/>
      <c r="K33" s="242" t="s">
        <v>338</v>
      </c>
    </row>
    <row r="34" spans="1:12" ht="27" customHeight="1">
      <c r="A34">
        <v>25</v>
      </c>
      <c r="B34" s="251" t="s">
        <v>855</v>
      </c>
      <c r="C34" s="238">
        <f>IF(K34=0,,IF(F34="m²",VLOOKUP(K34,CEHOP_2025!$B$5:$I$253,3,),IF(F34="km",VLOOKUP(K34,CEHOP_2025!$B$5:$I$253,3,))))</f>
        <v>0</v>
      </c>
      <c r="D34" s="239">
        <f t="shared" si="0"/>
        <v>0</v>
      </c>
      <c r="E34" s="249">
        <f t="shared" si="2"/>
        <v>396963.98639999994</v>
      </c>
      <c r="F34" s="241" t="s">
        <v>836</v>
      </c>
      <c r="G34" s="246">
        <f t="shared" si="3"/>
        <v>0</v>
      </c>
      <c r="H34" s="246"/>
      <c r="I34" s="248">
        <f t="shared" si="4"/>
        <v>0</v>
      </c>
      <c r="J34" s="242"/>
      <c r="K34" s="250"/>
    </row>
    <row r="35" spans="1:12" ht="27" customHeight="1">
      <c r="A35">
        <v>26</v>
      </c>
      <c r="B35" s="251" t="s">
        <v>856</v>
      </c>
      <c r="C35" s="238">
        <f>IF(K35=0,,IF(F35="m²",VLOOKUP(K35,CEHOP_2025!$B$5:$I$253,3,),IF(F35="km",VLOOKUP(K35,CEHOP_2025!$B$5:$I$253,3,))))</f>
        <v>0</v>
      </c>
      <c r="D35" s="239">
        <f t="shared" si="0"/>
        <v>0</v>
      </c>
      <c r="E35" s="249">
        <f t="shared" si="2"/>
        <v>396963.98639999994</v>
      </c>
      <c r="F35" s="241" t="s">
        <v>836</v>
      </c>
      <c r="G35" s="246">
        <f t="shared" si="3"/>
        <v>0</v>
      </c>
      <c r="H35" s="246"/>
      <c r="I35" s="248">
        <f t="shared" si="4"/>
        <v>0</v>
      </c>
      <c r="J35" s="242"/>
      <c r="K35" s="250"/>
      <c r="L35" s="256"/>
    </row>
    <row r="36" spans="1:12" ht="27" customHeight="1">
      <c r="A36">
        <v>27</v>
      </c>
      <c r="B36" s="254" t="s">
        <v>857</v>
      </c>
      <c r="C36" s="238">
        <f>IF(K36=0,,IF(F36="m²",VLOOKUP(K36,CEHOP_2025!$B$5:$I$253,3,),IF(F36="km",VLOOKUP(K36,CEHOP_2025!$B$5:$I$253,3,))))</f>
        <v>0</v>
      </c>
      <c r="D36" s="239">
        <f t="shared" si="0"/>
        <v>0</v>
      </c>
      <c r="E36" s="249">
        <f t="shared" si="2"/>
        <v>396963.98639999994</v>
      </c>
      <c r="F36" s="241" t="s">
        <v>836</v>
      </c>
      <c r="G36" s="246">
        <f t="shared" si="3"/>
        <v>0</v>
      </c>
      <c r="H36" s="246"/>
      <c r="I36" s="248">
        <f t="shared" si="4"/>
        <v>0</v>
      </c>
      <c r="J36" s="242"/>
      <c r="K36" s="250"/>
      <c r="L36" s="256"/>
    </row>
    <row r="37" spans="1:12" ht="27" customHeight="1">
      <c r="A37">
        <v>28</v>
      </c>
      <c r="B37" s="251" t="s">
        <v>858</v>
      </c>
      <c r="C37" s="238">
        <f>IF(K37=0,,IF(F37="m²",VLOOKUP(K37,CEHOP_2025!$B$5:$I$253,3,),IF(F37="km",VLOOKUP(K37,CEHOP_2025!$B$5:$I$253,3,))))</f>
        <v>0</v>
      </c>
      <c r="D37" s="239">
        <f t="shared" si="0"/>
        <v>0</v>
      </c>
      <c r="E37" s="249">
        <f t="shared" si="2"/>
        <v>396963.98639999994</v>
      </c>
      <c r="F37" s="241" t="s">
        <v>836</v>
      </c>
      <c r="G37" s="246">
        <f t="shared" si="3"/>
        <v>0</v>
      </c>
      <c r="H37" s="246"/>
      <c r="I37" s="248">
        <f t="shared" si="4"/>
        <v>0</v>
      </c>
      <c r="J37" s="242"/>
      <c r="K37" s="250"/>
      <c r="L37" s="256"/>
    </row>
    <row r="38" spans="1:12" ht="27" customHeight="1">
      <c r="A38">
        <v>29</v>
      </c>
      <c r="B38" s="254" t="s">
        <v>859</v>
      </c>
      <c r="C38" s="238" t="e">
        <f>G47+SUM(G20:G37)*15%</f>
        <v>#N/A</v>
      </c>
      <c r="D38" s="239" t="e">
        <f t="shared" si="0"/>
        <v>#N/A</v>
      </c>
      <c r="E38" s="249">
        <v>1</v>
      </c>
      <c r="F38" s="241" t="s">
        <v>827</v>
      </c>
      <c r="G38" s="246" t="e">
        <f t="shared" si="3"/>
        <v>#N/A</v>
      </c>
      <c r="H38" s="246"/>
      <c r="I38" s="248" t="e">
        <f t="shared" si="4"/>
        <v>#N/A</v>
      </c>
      <c r="J38" s="242" t="s">
        <v>504</v>
      </c>
      <c r="K38" s="242"/>
    </row>
    <row r="39" spans="1:12" ht="27" customHeight="1">
      <c r="A39">
        <v>29</v>
      </c>
      <c r="B39" s="254" t="s">
        <v>793</v>
      </c>
      <c r="C39" s="238">
        <f>IF(J39=0,,IF(F39="m²",VLOOKUP(J39,'SECID PR_2024'!$B$9:$G$170,3,),IF(F39="km",VLOOKUP(J39,CEHOP_2025!$B$5:$I$253,3,),IF(F39="Und.",VLOOKUP(J39,'SECID PR_2024'!$B$9:$G$170,3,)))))</f>
        <v>2900</v>
      </c>
      <c r="D39" s="239">
        <f t="shared" si="0"/>
        <v>3588.46</v>
      </c>
      <c r="E39" s="249">
        <v>1</v>
      </c>
      <c r="F39" s="241" t="s">
        <v>860</v>
      </c>
      <c r="G39" s="246">
        <f t="shared" si="3"/>
        <v>3588.46</v>
      </c>
      <c r="H39" s="246"/>
      <c r="I39" s="248">
        <f t="shared" si="4"/>
        <v>-3588.46</v>
      </c>
      <c r="J39" s="242" t="s">
        <v>792</v>
      </c>
      <c r="K39" s="242"/>
    </row>
    <row r="40" spans="1:12" ht="27" customHeight="1">
      <c r="A40">
        <v>29</v>
      </c>
      <c r="B40" s="254" t="s">
        <v>861</v>
      </c>
      <c r="C40" s="238">
        <f>IF(J40=0,,IF(F40="m²",VLOOKUP(J40,'SECID PR_2024'!$B$9:$G$170,3,),IF(F40="km",VLOOKUP(J40,CEHOP_2025!$B$5:$I$253,3,),IF(F40="Und.",VLOOKUP(J40,'SECID PR_2024'!$B$9:$G$170,3,)))))</f>
        <v>0</v>
      </c>
      <c r="D40" s="239">
        <f t="shared" si="0"/>
        <v>0</v>
      </c>
      <c r="E40" s="249">
        <v>1</v>
      </c>
      <c r="F40" s="241" t="s">
        <v>860</v>
      </c>
      <c r="G40" s="246">
        <f t="shared" si="3"/>
        <v>0</v>
      </c>
      <c r="H40" s="246"/>
      <c r="I40" s="248">
        <f t="shared" si="4"/>
        <v>0</v>
      </c>
      <c r="J40" s="242"/>
      <c r="K40" s="242"/>
    </row>
    <row r="41" spans="1:12" ht="12.75" customHeight="1">
      <c r="A41" s="1">
        <v>30</v>
      </c>
      <c r="B41" s="276" t="s">
        <v>862</v>
      </c>
      <c r="C41" s="238">
        <f>IF(K41=0,,IF(F41="m²",VLOOKUP(K41,CEHOP_2025!$B$5:$I$253,3,),IF(F41="km",VLOOKUP(K41,CEHOP_2025!$B$5:$I$253,3,))))</f>
        <v>0</v>
      </c>
      <c r="D41" s="239">
        <f t="shared" si="0"/>
        <v>0</v>
      </c>
      <c r="E41" s="249">
        <f t="shared" ref="E41:E47" si="5">IF(F41="km",$D$1,IF(F41="m²",$F$1,IF(F41="m",$D$2)))</f>
        <v>396963.98639999994</v>
      </c>
      <c r="F41" s="241" t="s">
        <v>836</v>
      </c>
      <c r="G41" s="272" t="e">
        <f>D41*E41+D42*E42+D43*E43+D44*E44+D45*E45+D46*E46+D47*E47</f>
        <v>#N/A</v>
      </c>
      <c r="H41" s="272"/>
      <c r="I41" s="274" t="e">
        <f t="shared" si="4"/>
        <v>#N/A</v>
      </c>
      <c r="J41" s="242"/>
      <c r="K41" s="250"/>
    </row>
    <row r="42" spans="1:12" ht="12.75" customHeight="1">
      <c r="A42" s="1"/>
      <c r="B42" s="276"/>
      <c r="C42" s="238">
        <f>IF(K42=0,,IF(F42="m²",VLOOKUP(K42,CEHOP_2025!$B$5:$I$253,3,),IF(F42="km",VLOOKUP(K42,CEHOP_2025!$B$5:$I$253,3,))))</f>
        <v>0</v>
      </c>
      <c r="D42" s="239">
        <f t="shared" si="0"/>
        <v>0</v>
      </c>
      <c r="E42" s="249">
        <f t="shared" si="5"/>
        <v>396963.98639999994</v>
      </c>
      <c r="F42" s="241" t="s">
        <v>836</v>
      </c>
      <c r="G42" s="272"/>
      <c r="H42" s="272"/>
      <c r="I42" s="274"/>
      <c r="J42" s="242"/>
      <c r="K42" s="242"/>
    </row>
    <row r="43" spans="1:12" ht="12.75" customHeight="1">
      <c r="A43" s="1"/>
      <c r="B43" s="276"/>
      <c r="C43" s="238">
        <f>IF(K43=0,,IF(F43="m²",VLOOKUP(K43,CEHOP_2025!$B$5:$I$253,3,),IF(F43="km",VLOOKUP(K43,CEHOP_2025!$B$5:$I$253,3,))))</f>
        <v>0</v>
      </c>
      <c r="D43" s="239">
        <f t="shared" si="0"/>
        <v>0</v>
      </c>
      <c r="E43" s="249">
        <f t="shared" si="5"/>
        <v>396963.98639999994</v>
      </c>
      <c r="F43" s="241" t="s">
        <v>836</v>
      </c>
      <c r="G43" s="272"/>
      <c r="H43" s="272"/>
      <c r="I43" s="274"/>
      <c r="J43" s="242"/>
      <c r="K43" s="242"/>
    </row>
    <row r="44" spans="1:12" ht="12.75" customHeight="1">
      <c r="A44" s="1"/>
      <c r="B44" s="276"/>
      <c r="C44" s="238">
        <f>IF(K44=0,,IF(F44="m²",VLOOKUP(K44,CEHOP_2025!$B$5:$I$253,3,),IF(F44="km",VLOOKUP(K44,CEHOP_2025!$B$5:$I$253,3,))))</f>
        <v>0</v>
      </c>
      <c r="D44" s="239">
        <f t="shared" si="0"/>
        <v>0</v>
      </c>
      <c r="E44" s="249">
        <f t="shared" si="5"/>
        <v>396963.98639999994</v>
      </c>
      <c r="F44" s="241" t="s">
        <v>836</v>
      </c>
      <c r="G44" s="272"/>
      <c r="H44" s="272"/>
      <c r="I44" s="274"/>
      <c r="J44" s="242"/>
      <c r="K44" s="250"/>
    </row>
    <row r="45" spans="1:12" ht="12.75" customHeight="1">
      <c r="A45" s="1"/>
      <c r="B45" s="276"/>
      <c r="C45" s="238">
        <f>IF(K45=0,,IF(F45="m²",VLOOKUP(K45,CEHOP_2025!$B$5:$I$253,3,),IF(F45="km",VLOOKUP(K45,CEHOP_2025!$B$5:$I$253,3,))))</f>
        <v>1334200</v>
      </c>
      <c r="D45" s="239">
        <f t="shared" si="0"/>
        <v>1650939.08</v>
      </c>
      <c r="E45" s="249">
        <f t="shared" si="5"/>
        <v>396963.98639999994</v>
      </c>
      <c r="F45" s="241" t="s">
        <v>836</v>
      </c>
      <c r="G45" s="272"/>
      <c r="H45" s="272"/>
      <c r="I45" s="274"/>
      <c r="J45" s="242"/>
      <c r="K45" s="250" t="s">
        <v>491</v>
      </c>
    </row>
    <row r="46" spans="1:12" ht="12.75" customHeight="1">
      <c r="A46" s="1"/>
      <c r="B46" s="276"/>
      <c r="C46" s="238">
        <f>IF(K46=0,,IF(F46="m²",VLOOKUP(K46,CEHOP_2025!$B$5:$I$253,3,),IF(F46="km",VLOOKUP(K46,CEHOP_2025!$B$5:$I$253,3,))))</f>
        <v>0</v>
      </c>
      <c r="D46" s="239">
        <f t="shared" si="0"/>
        <v>0</v>
      </c>
      <c r="E46" s="249">
        <f t="shared" si="5"/>
        <v>396963.98639999994</v>
      </c>
      <c r="F46" s="241" t="s">
        <v>836</v>
      </c>
      <c r="G46" s="272"/>
      <c r="H46" s="272"/>
      <c r="I46" s="274"/>
      <c r="J46" s="242"/>
      <c r="K46" s="242"/>
    </row>
    <row r="47" spans="1:12" ht="12.75" customHeight="1">
      <c r="A47" s="1"/>
      <c r="B47" s="276"/>
      <c r="C47" s="238" t="e">
        <f>IF(K47=0,,IF(F47="m²",VLOOKUP(K47,CEHOP_2025!$B$5:$I$253,3,),IF(F47="km",VLOOKUP(K47,CEHOP_2025!$B$5:$I$253,3,))))</f>
        <v>#N/A</v>
      </c>
      <c r="D47" s="239" t="e">
        <f t="shared" si="0"/>
        <v>#N/A</v>
      </c>
      <c r="E47" s="249">
        <f t="shared" si="5"/>
        <v>396963.98639999994</v>
      </c>
      <c r="F47" s="241" t="s">
        <v>836</v>
      </c>
      <c r="G47" s="272"/>
      <c r="H47" s="272"/>
      <c r="I47" s="274"/>
      <c r="J47" s="242"/>
      <c r="K47" s="250" t="s">
        <v>863</v>
      </c>
    </row>
    <row r="48" spans="1:12" ht="11.25" customHeight="1">
      <c r="B48" s="257"/>
      <c r="C48" s="257"/>
      <c r="D48" s="257"/>
      <c r="F48" s="257"/>
      <c r="J48" s="257"/>
    </row>
    <row r="49" spans="2:9" ht="24.75" customHeight="1">
      <c r="B49" s="277" t="s">
        <v>864</v>
      </c>
      <c r="C49" s="277"/>
      <c r="D49" s="277"/>
      <c r="E49" s="277"/>
      <c r="F49" s="277"/>
      <c r="G49" s="258" t="e">
        <f>+SUM(G6:G47)</f>
        <v>#N/A</v>
      </c>
      <c r="H49" s="258">
        <f>+SUM(H6:H47)</f>
        <v>0</v>
      </c>
      <c r="I49" s="258" t="e">
        <f>+SUM(I6:I47)</f>
        <v>#N/A</v>
      </c>
    </row>
    <row r="50" spans="2:9" ht="24.75" customHeight="1">
      <c r="B50" s="257"/>
      <c r="C50" s="257"/>
      <c r="D50" s="257"/>
      <c r="E50" s="257"/>
      <c r="H50" s="259" t="e">
        <f>G49/D1</f>
        <v>#N/A</v>
      </c>
      <c r="I50" s="260" t="e">
        <f>H49/G49</f>
        <v>#N/A</v>
      </c>
    </row>
    <row r="51" spans="2:9" ht="24.75" customHeight="1">
      <c r="B51" s="232" t="s">
        <v>865</v>
      </c>
      <c r="C51" s="261" t="s">
        <v>866</v>
      </c>
      <c r="D51" s="261"/>
      <c r="E51" s="261" t="s">
        <v>866</v>
      </c>
      <c r="I51" s="259" t="e">
        <f>SUM(I49:I50)</f>
        <v>#N/A</v>
      </c>
    </row>
    <row r="53" spans="2:9">
      <c r="B53" s="262" t="s">
        <v>867</v>
      </c>
    </row>
    <row r="58" spans="2:9">
      <c r="B58" s="263"/>
    </row>
  </sheetData>
  <mergeCells count="51">
    <mergeCell ref="B49:F49"/>
    <mergeCell ref="A41:A47"/>
    <mergeCell ref="B41:B47"/>
    <mergeCell ref="G41:G47"/>
    <mergeCell ref="H41:H47"/>
    <mergeCell ref="I41:I47"/>
    <mergeCell ref="A28:A31"/>
    <mergeCell ref="B28:B31"/>
    <mergeCell ref="G28:G31"/>
    <mergeCell ref="H28:H31"/>
    <mergeCell ref="I28:I31"/>
    <mergeCell ref="A24:A27"/>
    <mergeCell ref="B24:B27"/>
    <mergeCell ref="G24:G27"/>
    <mergeCell ref="H24:H27"/>
    <mergeCell ref="I24:I27"/>
    <mergeCell ref="A22:A23"/>
    <mergeCell ref="B22:B23"/>
    <mergeCell ref="G22:G23"/>
    <mergeCell ref="H22:H23"/>
    <mergeCell ref="I22:I23"/>
    <mergeCell ref="A17:A19"/>
    <mergeCell ref="B17:B19"/>
    <mergeCell ref="G17:G19"/>
    <mergeCell ref="H17:H19"/>
    <mergeCell ref="I17:I19"/>
    <mergeCell ref="A14:A16"/>
    <mergeCell ref="B14:B16"/>
    <mergeCell ref="G14:G16"/>
    <mergeCell ref="H14:H16"/>
    <mergeCell ref="I14:I16"/>
    <mergeCell ref="A10:A11"/>
    <mergeCell ref="B10:B11"/>
    <mergeCell ref="G10:G11"/>
    <mergeCell ref="H10:H11"/>
    <mergeCell ref="I10:I11"/>
    <mergeCell ref="A8:A9"/>
    <mergeCell ref="B8:B9"/>
    <mergeCell ref="G8:G9"/>
    <mergeCell ref="H8:H9"/>
    <mergeCell ref="I8:I9"/>
    <mergeCell ref="A6:A7"/>
    <mergeCell ref="B6:B7"/>
    <mergeCell ref="G6:G7"/>
    <mergeCell ref="H6:H7"/>
    <mergeCell ref="I6:I7"/>
    <mergeCell ref="B2:B3"/>
    <mergeCell ref="C3:G3"/>
    <mergeCell ref="H3:I3"/>
    <mergeCell ref="J3:K3"/>
    <mergeCell ref="B5:K5"/>
  </mergeCells>
  <printOptions horizontalCentered="1"/>
  <pageMargins left="0.51180555555555596" right="0.51180555555555596" top="0.78749999999999998" bottom="0.78749999999999998" header="0.511811023622047" footer="0.511811023622047"/>
  <pageSetup paperSize="9" scale="39"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57"/>
  <sheetViews>
    <sheetView view="pageBreakPreview" zoomScale="65" zoomScaleNormal="85" zoomScalePageLayoutView="65" workbookViewId="0"/>
  </sheetViews>
  <sheetFormatPr defaultColWidth="8.7109375" defaultRowHeight="15" customHeight="1"/>
  <cols>
    <col min="2" max="2" width="71.5703125" customWidth="1"/>
    <col min="3" max="4" width="20.5703125" customWidth="1"/>
    <col min="5" max="5" width="20.28515625" customWidth="1"/>
    <col min="6" max="8" width="18.5703125" customWidth="1"/>
    <col min="9" max="9" width="22" customWidth="1"/>
    <col min="10" max="10" width="15" customWidth="1"/>
    <col min="11" max="11" width="14.5703125" customWidth="1"/>
  </cols>
  <sheetData>
    <row r="1" spans="1:11" ht="26.25" customHeight="1">
      <c r="B1" s="222" t="s">
        <v>814</v>
      </c>
      <c r="C1" s="223" t="s">
        <v>815</v>
      </c>
      <c r="D1" s="224">
        <f>D2/1000</f>
        <v>1</v>
      </c>
      <c r="E1" s="223" t="s">
        <v>816</v>
      </c>
      <c r="F1" s="225">
        <f>D2*(12)</f>
        <v>12000</v>
      </c>
      <c r="G1" s="226"/>
      <c r="H1" s="226"/>
      <c r="I1" s="227" t="s">
        <v>817</v>
      </c>
    </row>
    <row r="2" spans="1:11" ht="30">
      <c r="B2" s="5"/>
      <c r="C2" s="223" t="s">
        <v>818</v>
      </c>
      <c r="D2" s="264">
        <v>1000</v>
      </c>
      <c r="E2" s="229" t="s">
        <v>868</v>
      </c>
      <c r="F2" s="265">
        <f>30*15</f>
        <v>450</v>
      </c>
      <c r="G2" s="226"/>
      <c r="H2" s="226"/>
      <c r="I2" s="231">
        <v>0</v>
      </c>
    </row>
    <row r="3" spans="1:11" ht="28.5" customHeight="1">
      <c r="B3" s="5"/>
      <c r="C3" s="4" t="s">
        <v>820</v>
      </c>
      <c r="D3" s="4"/>
      <c r="E3" s="4"/>
      <c r="F3" s="4"/>
      <c r="G3" s="4"/>
      <c r="H3" s="4" t="s">
        <v>821</v>
      </c>
      <c r="I3" s="4"/>
      <c r="J3" s="3" t="s">
        <v>822</v>
      </c>
      <c r="K3" s="3"/>
    </row>
    <row r="4" spans="1:11" ht="52.5" customHeight="1">
      <c r="B4" s="232" t="s">
        <v>823</v>
      </c>
      <c r="C4" s="233" t="s">
        <v>824</v>
      </c>
      <c r="D4" s="233" t="s">
        <v>825</v>
      </c>
      <c r="E4" s="234" t="s">
        <v>826</v>
      </c>
      <c r="F4" s="234" t="s">
        <v>827</v>
      </c>
      <c r="G4" s="235" t="s">
        <v>828</v>
      </c>
      <c r="H4" s="235" t="s">
        <v>828</v>
      </c>
      <c r="I4" s="235" t="s">
        <v>829</v>
      </c>
      <c r="J4" s="236" t="s">
        <v>830</v>
      </c>
      <c r="K4" s="236" t="s">
        <v>831</v>
      </c>
    </row>
    <row r="5" spans="1:11" ht="6" customHeight="1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7" customHeight="1">
      <c r="A6" s="1">
        <v>1</v>
      </c>
      <c r="B6" s="268" t="s">
        <v>832</v>
      </c>
      <c r="C6" s="238" t="e">
        <f>IF(K6=0,,IF(F6="m²",VLOOKUP(K6,CEHOP_2025!$B$5:$I$253,3,),IF(F6="km",VLOOKUP(K6,CEHOP_2025!$B$5:$I$253,3,),IF(F6="und.",VLOOKUP(K6,CEHOP_2025!$B$5:$I$253,3,)))))</f>
        <v>#N/A</v>
      </c>
      <c r="D6" s="239" t="e">
        <f t="shared" ref="D6:D46" si="0">(C6*$I$2)+C6</f>
        <v>#N/A</v>
      </c>
      <c r="E6" s="240"/>
      <c r="F6" s="241" t="s">
        <v>833</v>
      </c>
      <c r="G6" s="269" t="e">
        <f>D6*E6+D7*E7</f>
        <v>#N/A</v>
      </c>
      <c r="H6" s="269"/>
      <c r="I6" s="270" t="e">
        <f>H6-G6</f>
        <v>#N/A</v>
      </c>
      <c r="J6" s="242"/>
      <c r="K6" s="242" t="s">
        <v>834</v>
      </c>
    </row>
    <row r="7" spans="1:11" ht="27" customHeight="1">
      <c r="A7" s="1"/>
      <c r="B7" s="268"/>
      <c r="C7" s="238">
        <f>IF(K7=0,,IF(F7="m²",VLOOKUP(K7,CEHOP_2025!$B$5:$I$253,3,),IF(F7="km",VLOOKUP(K7,CEHOP_2025!$B$5:$I$253,3,),IF(F7="und.",VLOOKUP(K7,CEHOP_2025!$B$5:$I$253,3,)))))</f>
        <v>180</v>
      </c>
      <c r="D7" s="239">
        <f t="shared" si="0"/>
        <v>180</v>
      </c>
      <c r="E7" s="240"/>
      <c r="F7" s="241" t="s">
        <v>833</v>
      </c>
      <c r="G7" s="269"/>
      <c r="H7" s="269"/>
      <c r="I7" s="270"/>
      <c r="J7" s="242"/>
      <c r="K7" s="242" t="s">
        <v>351</v>
      </c>
    </row>
    <row r="8" spans="1:11" ht="16.5" customHeight="1">
      <c r="A8" s="1">
        <f>A6+1</f>
        <v>2</v>
      </c>
      <c r="B8" s="271" t="s">
        <v>835</v>
      </c>
      <c r="C8" s="238">
        <f>IF(K8=0,,IF(F8="m²",VLOOKUP(K8,CEHOP_2025!$B$5:$I$253,3,),IF(F8="km",VLOOKUP(K8,CEHOP_2025!$B$5:$I$253,3,),IF(F8="und.",VLOOKUP(K8,CEHOP_2025!$B$5:$I$253,3,)))))</f>
        <v>647500</v>
      </c>
      <c r="D8" s="239">
        <f t="shared" si="0"/>
        <v>647500</v>
      </c>
      <c r="E8" s="245">
        <f>IF(F8="und.","1",IF(F8="km",$D$1,IF(F8="m²",$F$1,IF(F8="m",$D$2))))</f>
        <v>12000</v>
      </c>
      <c r="F8" s="241" t="s">
        <v>836</v>
      </c>
      <c r="G8" s="272">
        <f>D8*E8+D9*E9</f>
        <v>13050000000</v>
      </c>
      <c r="H8" s="272"/>
      <c r="I8" s="270">
        <f>H8-G8</f>
        <v>-13050000000</v>
      </c>
      <c r="J8" s="242"/>
      <c r="K8" s="242" t="s">
        <v>450</v>
      </c>
    </row>
    <row r="9" spans="1:11" ht="16.5" customHeight="1">
      <c r="A9" s="1"/>
      <c r="B9" s="271"/>
      <c r="C9" s="238">
        <f>IF(K9=0,,IF(F9="m²",VLOOKUP(K9,CEHOP_2025!$B$5:$I$253,3,),IF(F9="km",VLOOKUP(K9,CEHOP_2025!$B$5:$I$253,3,),IF(F9="und.",VLOOKUP(K9,CEHOP_2025!$B$5:$I$253,3,)))))</f>
        <v>440000</v>
      </c>
      <c r="D9" s="239">
        <f t="shared" si="0"/>
        <v>440000</v>
      </c>
      <c r="E9" s="245">
        <f>IF(F9="und.","1",IF(F9="km",$D$1,IF(F9="m²",$F$1,IF(F9="m",$D$2))))</f>
        <v>12000</v>
      </c>
      <c r="F9" s="241" t="s">
        <v>836</v>
      </c>
      <c r="G9" s="272"/>
      <c r="H9" s="272"/>
      <c r="I9" s="270"/>
      <c r="J9" s="242"/>
      <c r="K9" s="242" t="s">
        <v>445</v>
      </c>
    </row>
    <row r="10" spans="1:11" ht="21" customHeight="1">
      <c r="A10" s="1">
        <f>A8+1</f>
        <v>3</v>
      </c>
      <c r="B10" s="271" t="s">
        <v>837</v>
      </c>
      <c r="C10" s="238" t="e">
        <f>IF(K10=0,,IF(F10="m²",VLOOKUP(K10,CEHOP_2025!$B$5:$I$253,3,),IF(F10="km",VLOOKUP(K10,CEHOP_2025!$B$5:$I$253,3,),IF(F10="und.",VLOOKUP(K10,CEHOP_2025!$B$5:$I$253,3,)))))</f>
        <v>#N/A</v>
      </c>
      <c r="D10" s="239" t="e">
        <f t="shared" si="0"/>
        <v>#N/A</v>
      </c>
      <c r="E10" s="249">
        <f>ROUNDUP(D2/200,0)</f>
        <v>5</v>
      </c>
      <c r="F10" s="241" t="s">
        <v>833</v>
      </c>
      <c r="G10" s="272" t="e">
        <f>D10*E10+D11*E11</f>
        <v>#N/A</v>
      </c>
      <c r="H10" s="272"/>
      <c r="I10" s="270" t="e">
        <f>H10-G10</f>
        <v>#N/A</v>
      </c>
      <c r="J10" s="242"/>
      <c r="K10" s="242" t="s">
        <v>838</v>
      </c>
    </row>
    <row r="11" spans="1:11" ht="21" customHeight="1">
      <c r="A11" s="1"/>
      <c r="B11" s="271"/>
      <c r="C11" s="238" t="e">
        <f>IF(K11=0,,IF(F11="m²",VLOOKUP(K11,CEHOP_2025!$B$5:$I$253,3,),IF(F11="km",VLOOKUP(K11,CEHOP_2025!$B$5:$I$253,3,),IF(F11="und.",VLOOKUP(K11,CEHOP_2025!$B$5:$I$253,3,)))))</f>
        <v>#N/A</v>
      </c>
      <c r="D11" s="239" t="e">
        <f t="shared" si="0"/>
        <v>#N/A</v>
      </c>
      <c r="E11" s="247">
        <v>1</v>
      </c>
      <c r="F11" s="241" t="s">
        <v>833</v>
      </c>
      <c r="G11" s="272"/>
      <c r="H11" s="272"/>
      <c r="I11" s="270"/>
      <c r="J11" s="242"/>
      <c r="K11" s="242" t="s">
        <v>839</v>
      </c>
    </row>
    <row r="12" spans="1:11" ht="27" customHeight="1">
      <c r="A12">
        <v>4</v>
      </c>
      <c r="B12" s="243" t="s">
        <v>840</v>
      </c>
      <c r="C12" s="238">
        <f>IF(K12=0,,IF(F12="m²",VLOOKUP(K12,CEHOP_2025!$B$5:$I$253,3,),IF(F12="km",VLOOKUP(K12,CEHOP_2025!$B$5:$I$253,3,),IF(F12="und.",VLOOKUP(K12,CEHOP_2025!$B$5:$I$253,3,)))))</f>
        <v>24</v>
      </c>
      <c r="D12" s="239">
        <f t="shared" si="0"/>
        <v>24</v>
      </c>
      <c r="E12" s="247">
        <v>0</v>
      </c>
      <c r="F12" s="241" t="s">
        <v>833</v>
      </c>
      <c r="G12" s="246">
        <f>D12*E12</f>
        <v>0</v>
      </c>
      <c r="H12" s="246"/>
      <c r="I12" s="248">
        <f>H12-G12</f>
        <v>0</v>
      </c>
      <c r="J12" s="242"/>
      <c r="K12" s="242" t="s">
        <v>405</v>
      </c>
    </row>
    <row r="13" spans="1:11" ht="27" customHeight="1">
      <c r="A13">
        <v>6</v>
      </c>
      <c r="B13" s="243" t="s">
        <v>869</v>
      </c>
      <c r="C13" s="238">
        <f>IF(K13=0,,IF(F13="m²",VLOOKUP(K13,CEHOP_2025!$B$5:$I$253,3,)))</f>
        <v>30000</v>
      </c>
      <c r="D13" s="239">
        <f t="shared" si="0"/>
        <v>30000</v>
      </c>
      <c r="E13" s="249">
        <f>IF(F13="km",$D$1,IF(F13="m²",$F$1,IF(F13="m",$D$2)))</f>
        <v>12000</v>
      </c>
      <c r="F13" s="241" t="s">
        <v>836</v>
      </c>
      <c r="G13" s="246">
        <f>D13*E13</f>
        <v>360000000</v>
      </c>
      <c r="H13" s="246"/>
      <c r="I13" s="248">
        <f>H13-G13</f>
        <v>-360000000</v>
      </c>
      <c r="J13" s="242"/>
      <c r="K13" s="250" t="s">
        <v>95</v>
      </c>
    </row>
    <row r="14" spans="1:11" ht="27" customHeight="1">
      <c r="A14" s="1">
        <v>10</v>
      </c>
      <c r="B14" s="271" t="s">
        <v>843</v>
      </c>
      <c r="C14" s="238">
        <f>IF(K14=0,,IF(F14="m²",VLOOKUP(K14,CEHOP_2025!$B$5:$I$253,3,)))</f>
        <v>0</v>
      </c>
      <c r="D14" s="239">
        <f t="shared" si="0"/>
        <v>0</v>
      </c>
      <c r="E14" s="266">
        <f>IF(F14="km",$D$1,IF(F14="m²",$F$1,IF(F14="m",$D$2)))</f>
        <v>12000</v>
      </c>
      <c r="F14" s="241" t="s">
        <v>836</v>
      </c>
      <c r="G14" s="272">
        <f>D14*E14+D15*E15+D16*E16</f>
        <v>990000000</v>
      </c>
      <c r="H14" s="272"/>
      <c r="I14" s="274">
        <f>H14-G14</f>
        <v>-990000000</v>
      </c>
      <c r="J14" s="242"/>
      <c r="K14" s="250"/>
    </row>
    <row r="15" spans="1:11" ht="27" customHeight="1">
      <c r="A15" s="1"/>
      <c r="B15" s="271"/>
      <c r="C15" s="238">
        <f>IF(K15=0,,IF(F15="m²",VLOOKUP(K15,CEHOP_2025!$B$5:$I$253,3,)))</f>
        <v>82500</v>
      </c>
      <c r="D15" s="239">
        <f t="shared" si="0"/>
        <v>82500</v>
      </c>
      <c r="E15" s="267">
        <f>IF(F15="km",$D$1,IF(F15="m²",$F$1,IF(F15="m",$D$2)))</f>
        <v>12000</v>
      </c>
      <c r="F15" s="241" t="s">
        <v>836</v>
      </c>
      <c r="G15" s="272"/>
      <c r="H15" s="272"/>
      <c r="I15" s="274"/>
      <c r="J15" s="242"/>
      <c r="K15" s="242" t="s">
        <v>225</v>
      </c>
    </row>
    <row r="16" spans="1:11" ht="27" customHeight="1">
      <c r="A16" s="1"/>
      <c r="B16" s="271"/>
      <c r="C16" s="238">
        <f>IF(K16=0,,IF(F16="m²",VLOOKUP(K16,CEHOP_2025!$B$5:$I$253,3,)))</f>
        <v>0</v>
      </c>
      <c r="D16" s="239">
        <f t="shared" si="0"/>
        <v>0</v>
      </c>
      <c r="E16" s="267">
        <f>IF(F16="km",$D$1,IF(F16="m²",$F$1,IF(F16="m",$D$2)))</f>
        <v>12000</v>
      </c>
      <c r="F16" s="241" t="s">
        <v>836</v>
      </c>
      <c r="G16" s="272"/>
      <c r="H16" s="272"/>
      <c r="I16" s="274"/>
      <c r="J16" s="242"/>
      <c r="K16" s="250"/>
    </row>
    <row r="17" spans="1:11" ht="27" customHeight="1">
      <c r="A17" s="1">
        <v>11</v>
      </c>
      <c r="B17" s="271" t="s">
        <v>844</v>
      </c>
      <c r="C17" s="238">
        <f>IF(K17=0,,IF(F17="und.",VLOOKUP(K17,CEHOP_2025!$B$5:$I$253,3,)))</f>
        <v>0</v>
      </c>
      <c r="D17" s="239">
        <f t="shared" si="0"/>
        <v>0</v>
      </c>
      <c r="E17" s="247"/>
      <c r="F17" s="241" t="s">
        <v>833</v>
      </c>
      <c r="G17" s="272">
        <f>D17*E17+D18*E18+D19*E19</f>
        <v>0</v>
      </c>
      <c r="H17" s="272"/>
      <c r="I17" s="274">
        <f>H17-G17</f>
        <v>0</v>
      </c>
      <c r="J17" s="242"/>
      <c r="K17" s="250"/>
    </row>
    <row r="18" spans="1:11" ht="27" customHeight="1">
      <c r="A18" s="1"/>
      <c r="B18" s="271"/>
      <c r="C18" s="238">
        <f>IF(K18=0,,IF(F18="und.",VLOOKUP(K18,CEHOP_2025!$B$5:$I$253,3,)))</f>
        <v>0</v>
      </c>
      <c r="D18" s="239">
        <f t="shared" si="0"/>
        <v>0</v>
      </c>
      <c r="E18" s="247"/>
      <c r="F18" s="241" t="s">
        <v>833</v>
      </c>
      <c r="G18" s="272"/>
      <c r="H18" s="272"/>
      <c r="I18" s="274"/>
      <c r="J18" s="242"/>
      <c r="K18" s="250"/>
    </row>
    <row r="19" spans="1:11" ht="27" customHeight="1">
      <c r="A19" s="1"/>
      <c r="B19" s="271"/>
      <c r="C19" s="238">
        <f>IF(K19=0,,IF(F19="und.",VLOOKUP(K19,CEHOP_2025!$B$5:$I$253,3,)))</f>
        <v>0</v>
      </c>
      <c r="D19" s="239">
        <f t="shared" si="0"/>
        <v>0</v>
      </c>
      <c r="E19" s="249">
        <f t="shared" ref="E19:E28" si="1">IF(F19="km",$D$1,IF(F19="m²",$F$1,IF(F19="m",$D$2)))</f>
        <v>1</v>
      </c>
      <c r="F19" s="241" t="s">
        <v>845</v>
      </c>
      <c r="G19" s="272"/>
      <c r="H19" s="272"/>
      <c r="I19" s="274"/>
      <c r="J19" s="242"/>
      <c r="K19" s="250"/>
    </row>
    <row r="20" spans="1:11" ht="27" customHeight="1">
      <c r="A20">
        <v>18</v>
      </c>
      <c r="B20" s="243" t="s">
        <v>846</v>
      </c>
      <c r="C20" s="238" t="e">
        <f>IF(K20=0,,IF(F20="km",VLOOKUP(K20,CEHOP_2025!$B$5:$I$253,3,)))</f>
        <v>#N/A</v>
      </c>
      <c r="D20" s="239" t="e">
        <f t="shared" si="0"/>
        <v>#N/A</v>
      </c>
      <c r="E20" s="249">
        <f t="shared" si="1"/>
        <v>1</v>
      </c>
      <c r="F20" s="241" t="s">
        <v>845</v>
      </c>
      <c r="G20" s="246" t="e">
        <f>D20*E20</f>
        <v>#N/A</v>
      </c>
      <c r="H20" s="246"/>
      <c r="I20" s="248" t="e">
        <f>H20-G20</f>
        <v>#N/A</v>
      </c>
      <c r="J20" s="242"/>
      <c r="K20" s="242" t="s">
        <v>870</v>
      </c>
    </row>
    <row r="21" spans="1:11" ht="27" customHeight="1">
      <c r="A21" s="1">
        <v>19</v>
      </c>
      <c r="B21" s="271" t="s">
        <v>847</v>
      </c>
      <c r="C21" s="238">
        <f>IF(K21=0,,IF(F21="m²",VLOOKUP(K21,CEHOP_2025!$B$5:$I$253,3,),IF(F21="km",VLOOKUP(K21,CEHOP_2025!$B$5:$I$253,3,))))</f>
        <v>0</v>
      </c>
      <c r="D21" s="239">
        <f t="shared" si="0"/>
        <v>0</v>
      </c>
      <c r="E21" s="249">
        <f t="shared" si="1"/>
        <v>12000</v>
      </c>
      <c r="F21" s="241" t="s">
        <v>836</v>
      </c>
      <c r="G21" s="272" t="e">
        <f>D21*E21+D22*E22</f>
        <v>#N/A</v>
      </c>
      <c r="H21" s="272"/>
      <c r="I21" s="270" t="e">
        <f>H21-G21</f>
        <v>#N/A</v>
      </c>
      <c r="J21" s="242"/>
      <c r="K21" s="250"/>
    </row>
    <row r="22" spans="1:11" ht="27" customHeight="1">
      <c r="A22" s="1"/>
      <c r="B22" s="271"/>
      <c r="C22" s="238" t="e">
        <f>IF(K22=0,,IF(F22="m²",VLOOKUP(K22,CEHOP_2025!$B$5:$I$253,3,),IF(F22="km",VLOOKUP(K22,CEHOP_2025!$B$5:$I$253,3,))))</f>
        <v>#N/A</v>
      </c>
      <c r="D22" s="239" t="e">
        <f t="shared" si="0"/>
        <v>#N/A</v>
      </c>
      <c r="E22" s="249">
        <f t="shared" si="1"/>
        <v>1</v>
      </c>
      <c r="F22" s="241" t="s">
        <v>845</v>
      </c>
      <c r="G22" s="272"/>
      <c r="H22" s="272"/>
      <c r="I22" s="270"/>
      <c r="J22" s="242"/>
      <c r="K22" s="242" t="s">
        <v>870</v>
      </c>
    </row>
    <row r="23" spans="1:11" ht="27" customHeight="1">
      <c r="A23" s="1">
        <v>20</v>
      </c>
      <c r="B23" s="271" t="s">
        <v>848</v>
      </c>
      <c r="C23" s="238">
        <f>IF(K23=0,,IF(F23="m²",VLOOKUP(K23,CEHOP_2025!$B$5:$I$253,3,),IF(F23="km",VLOOKUP(K23,CEHOP_2025!$B$5:$I$253,3,))))</f>
        <v>0</v>
      </c>
      <c r="D23" s="239">
        <f t="shared" si="0"/>
        <v>0</v>
      </c>
      <c r="E23" s="249">
        <f t="shared" si="1"/>
        <v>12000</v>
      </c>
      <c r="F23" s="241" t="s">
        <v>836</v>
      </c>
      <c r="G23" s="272" t="e">
        <f>D23*E23+D24*E24</f>
        <v>#N/A</v>
      </c>
      <c r="H23" s="272"/>
      <c r="I23" s="270" t="e">
        <f>H23-G23</f>
        <v>#N/A</v>
      </c>
      <c r="J23" s="242"/>
      <c r="K23" s="250"/>
    </row>
    <row r="24" spans="1:11" ht="27" customHeight="1">
      <c r="A24" s="1"/>
      <c r="B24" s="271"/>
      <c r="C24" s="238" t="e">
        <f>IF(K24=0,,IF(F24="m²",VLOOKUP(K24,CEHOP_2025!$B$5:$I$253,3,),IF(F24="km",VLOOKUP(K24,CEHOP_2025!$B$5:$I$253,3,))))</f>
        <v>#N/A</v>
      </c>
      <c r="D24" s="239" t="e">
        <f t="shared" si="0"/>
        <v>#N/A</v>
      </c>
      <c r="E24" s="249">
        <f t="shared" si="1"/>
        <v>1</v>
      </c>
      <c r="F24" s="241" t="s">
        <v>845</v>
      </c>
      <c r="G24" s="272"/>
      <c r="H24" s="272"/>
      <c r="I24" s="270"/>
      <c r="J24" s="242"/>
      <c r="K24" s="242" t="s">
        <v>849</v>
      </c>
    </row>
    <row r="25" spans="1:11" ht="18.75" customHeight="1">
      <c r="A25" s="1">
        <v>21</v>
      </c>
      <c r="B25" s="271" t="s">
        <v>850</v>
      </c>
      <c r="C25" s="238">
        <f>IF(K25=0,,IF(F25="m²",VLOOKUP(K25,CEHOP_2025!$B$5:$I$253,3,),IF(F25="km",VLOOKUP(K25,CEHOP_2025!$B$5:$I$253,3,))))</f>
        <v>0</v>
      </c>
      <c r="D25" s="239">
        <f t="shared" si="0"/>
        <v>0</v>
      </c>
      <c r="E25" s="249">
        <f t="shared" si="1"/>
        <v>12000</v>
      </c>
      <c r="F25" s="241" t="s">
        <v>836</v>
      </c>
      <c r="G25" s="272" t="e">
        <f>D25*E25+D26*E26+D27*E27+D28*E28</f>
        <v>#N/A</v>
      </c>
      <c r="H25" s="272"/>
      <c r="I25" s="274" t="e">
        <f>H25-G25</f>
        <v>#N/A</v>
      </c>
      <c r="J25" s="242"/>
      <c r="K25" s="250"/>
    </row>
    <row r="26" spans="1:11" ht="18.75" customHeight="1">
      <c r="A26" s="1"/>
      <c r="B26" s="271"/>
      <c r="C26" s="238">
        <f>IF(K26=0,,IF(F26="m²",VLOOKUP(K26,CEHOP_2025!$B$5:$I$253,3,),IF(F26="km",VLOOKUP(K26,CEHOP_2025!$B$5:$I$253,3,))))</f>
        <v>0</v>
      </c>
      <c r="D26" s="239">
        <f t="shared" si="0"/>
        <v>0</v>
      </c>
      <c r="E26" s="249">
        <f t="shared" si="1"/>
        <v>12000</v>
      </c>
      <c r="F26" s="241" t="s">
        <v>836</v>
      </c>
      <c r="G26" s="272"/>
      <c r="H26" s="272"/>
      <c r="I26" s="274"/>
      <c r="J26" s="242"/>
      <c r="K26" s="250"/>
    </row>
    <row r="27" spans="1:11" ht="18.75" customHeight="1">
      <c r="A27" s="1"/>
      <c r="B27" s="271"/>
      <c r="C27" s="238" t="e">
        <f>IF(K27=0,,IF(F27="m²",VLOOKUP(K27,CEHOP_2025!$B$5:$I$253,3,),IF(F27="km",VLOOKUP(K27,CEHOP_2025!$B$5:$I$253,3,))))</f>
        <v>#N/A</v>
      </c>
      <c r="D27" s="239" t="e">
        <f t="shared" si="0"/>
        <v>#N/A</v>
      </c>
      <c r="E27" s="249">
        <f t="shared" si="1"/>
        <v>1</v>
      </c>
      <c r="F27" s="241" t="s">
        <v>845</v>
      </c>
      <c r="G27" s="272"/>
      <c r="H27" s="272"/>
      <c r="I27" s="274"/>
      <c r="J27" s="242"/>
      <c r="K27" s="242" t="s">
        <v>871</v>
      </c>
    </row>
    <row r="28" spans="1:11" ht="18.75" customHeight="1">
      <c r="A28" s="1"/>
      <c r="B28" s="271"/>
      <c r="C28" s="238">
        <f>IF(K28=0,,IF(F28="m²",VLOOKUP(K28,CEHOP_2025!$B$5:$I$253,3,),IF(F28="km",VLOOKUP(K28,CEHOP_2025!$B$5:$I$253,3,))))</f>
        <v>0</v>
      </c>
      <c r="D28" s="239">
        <f t="shared" si="0"/>
        <v>0</v>
      </c>
      <c r="E28" s="249">
        <f t="shared" si="1"/>
        <v>1</v>
      </c>
      <c r="F28" s="241" t="s">
        <v>845</v>
      </c>
      <c r="G28" s="272"/>
      <c r="H28" s="272"/>
      <c r="I28" s="274"/>
      <c r="J28" s="242"/>
      <c r="K28" s="250"/>
    </row>
    <row r="29" spans="1:11" ht="18.75" customHeight="1">
      <c r="A29" s="1">
        <v>22</v>
      </c>
      <c r="B29" s="271" t="s">
        <v>852</v>
      </c>
      <c r="C29" s="238">
        <f>IF(K29=0,,IF(F29="m²",VLOOKUP(K29,CEHOP_2025!$B$5:$I$253,3,),IF(F29="km",VLOOKUP(K29,CEHOP_2025!$B$5:$I$253,3,))))</f>
        <v>100500</v>
      </c>
      <c r="D29" s="239">
        <f t="shared" si="0"/>
        <v>100500</v>
      </c>
      <c r="E29" s="249"/>
      <c r="F29" s="241" t="s">
        <v>836</v>
      </c>
      <c r="G29" s="272">
        <f>D29*E29+D30*E30+D31*E31+D32*E32</f>
        <v>45000000</v>
      </c>
      <c r="H29" s="272"/>
      <c r="I29" s="274">
        <f>H29-G29</f>
        <v>-45000000</v>
      </c>
      <c r="J29" s="242"/>
      <c r="K29" s="242" t="s">
        <v>130</v>
      </c>
    </row>
    <row r="30" spans="1:11" ht="18.75" customHeight="1">
      <c r="A30" s="1"/>
      <c r="B30" s="271"/>
      <c r="C30" s="238">
        <f>IF(K30=0,,IF(F30="m²",VLOOKUP(K30,CEHOP_2025!$B$5:$I$253,3,),IF(F30="km",VLOOKUP(K30,CEHOP_2025!$B$5:$I$253,3,))))</f>
        <v>70000</v>
      </c>
      <c r="D30" s="239">
        <f t="shared" si="0"/>
        <v>70000</v>
      </c>
      <c r="E30" s="249"/>
      <c r="F30" s="241" t="s">
        <v>836</v>
      </c>
      <c r="G30" s="272"/>
      <c r="H30" s="272"/>
      <c r="I30" s="274"/>
      <c r="J30" s="242"/>
      <c r="K30" s="242" t="s">
        <v>142</v>
      </c>
    </row>
    <row r="31" spans="1:11" ht="18.75" customHeight="1">
      <c r="A31" s="1"/>
      <c r="B31" s="271"/>
      <c r="C31" s="238">
        <f>IF(K31=0,,IF(F31="m²",VLOOKUP(K31,CEHOP_2025!$B$5:$I$253,3,),IF(F31="km",VLOOKUP(K31,CEHOP_2025!$B$5:$I$253,3,))))</f>
        <v>150000</v>
      </c>
      <c r="D31" s="239">
        <f t="shared" si="0"/>
        <v>150000</v>
      </c>
      <c r="E31" s="249"/>
      <c r="F31" s="241" t="s">
        <v>836</v>
      </c>
      <c r="G31" s="272"/>
      <c r="H31" s="272"/>
      <c r="I31" s="274"/>
      <c r="J31" s="242"/>
      <c r="K31" s="242" t="s">
        <v>329</v>
      </c>
    </row>
    <row r="32" spans="1:11" ht="18.75" customHeight="1">
      <c r="A32" s="1"/>
      <c r="B32" s="271"/>
      <c r="C32" s="238">
        <f>IF(K32=0,,IF(F32="m",VLOOKUP(K32,CEHOP_2025!$B$5:$I$253,3,),IF(F32="m²",VLOOKUP(K32,CEHOP_2025!$B$5:$I$253,3,),IF(F32="km",VLOOKUP(K32,CEHOP_2025!$B$5:$I$253,3,)))))</f>
        <v>45000</v>
      </c>
      <c r="D32" s="239">
        <f t="shared" si="0"/>
        <v>45000</v>
      </c>
      <c r="E32" s="249">
        <f t="shared" ref="E32:E38" si="2">IF(F32="km",$D$1,IF(F32="m²",$F$1,IF(F32="m",$D$2)))</f>
        <v>1000</v>
      </c>
      <c r="F32" s="241" t="s">
        <v>356</v>
      </c>
      <c r="G32" s="272"/>
      <c r="H32" s="272"/>
      <c r="I32" s="274"/>
      <c r="J32" s="242"/>
      <c r="K32" s="242" t="s">
        <v>332</v>
      </c>
    </row>
    <row r="33" spans="1:12" ht="27" customHeight="1">
      <c r="A33">
        <v>23</v>
      </c>
      <c r="B33" s="254" t="s">
        <v>853</v>
      </c>
      <c r="C33" s="238">
        <f>IF(K33=0,,IF(F33="m²",VLOOKUP(K33,CEHOP_2025!$B$5:$I$253,3,),IF(F33="km",VLOOKUP(K33,CEHOP_2025!$B$5:$I$253,3,))))</f>
        <v>158.58748626102499</v>
      </c>
      <c r="D33" s="239">
        <f t="shared" si="0"/>
        <v>158.58748626102499</v>
      </c>
      <c r="E33" s="249">
        <f t="shared" si="2"/>
        <v>1</v>
      </c>
      <c r="F33" s="241" t="s">
        <v>845</v>
      </c>
      <c r="G33" s="246">
        <f t="shared" ref="G33:G39" si="3">D33*E33</f>
        <v>158.58748626102499</v>
      </c>
      <c r="H33" s="246"/>
      <c r="I33" s="248">
        <f t="shared" ref="I33:I40" si="4">H33-G33</f>
        <v>-158.58748626102499</v>
      </c>
      <c r="J33" s="242"/>
      <c r="K33" s="242" t="s">
        <v>335</v>
      </c>
    </row>
    <row r="34" spans="1:12" ht="36" customHeight="1">
      <c r="A34">
        <v>24</v>
      </c>
      <c r="B34" s="254" t="s">
        <v>854</v>
      </c>
      <c r="C34" s="238">
        <f>IF(K34=0,,IF(F34="m²",VLOOKUP(K34,CEHOP_2025!$B$5:$I$253,3,),IF(F34="km",VLOOKUP(K34,CEHOP_2025!$B$5:$I$253,3,))))</f>
        <v>158.58748626102499</v>
      </c>
      <c r="D34" s="239">
        <f t="shared" si="0"/>
        <v>158.58748626102499</v>
      </c>
      <c r="E34" s="249">
        <f t="shared" si="2"/>
        <v>1</v>
      </c>
      <c r="F34" s="241" t="s">
        <v>845</v>
      </c>
      <c r="G34" s="246">
        <f t="shared" si="3"/>
        <v>158.58748626102499</v>
      </c>
      <c r="H34" s="246"/>
      <c r="I34" s="248">
        <f t="shared" si="4"/>
        <v>-158.58748626102499</v>
      </c>
      <c r="J34" s="242"/>
      <c r="K34" s="242" t="s">
        <v>338</v>
      </c>
    </row>
    <row r="35" spans="1:12" ht="27" customHeight="1">
      <c r="A35">
        <v>25</v>
      </c>
      <c r="B35" s="254" t="s">
        <v>855</v>
      </c>
      <c r="C35" s="238">
        <f>IF(K35=0,,IF(F35="m²",VLOOKUP(K35,CEHOP_2025!$B$5:$I$253,3,),IF(F35="km",VLOOKUP(K35,CEHOP_2025!$B$5:$I$253,3,))))</f>
        <v>0</v>
      </c>
      <c r="D35" s="239">
        <f t="shared" si="0"/>
        <v>0</v>
      </c>
      <c r="E35" s="249">
        <f t="shared" si="2"/>
        <v>12000</v>
      </c>
      <c r="F35" s="241" t="s">
        <v>836</v>
      </c>
      <c r="G35" s="246">
        <f t="shared" si="3"/>
        <v>0</v>
      </c>
      <c r="H35" s="246"/>
      <c r="I35" s="248">
        <f t="shared" si="4"/>
        <v>0</v>
      </c>
      <c r="J35" s="242"/>
      <c r="K35" s="250"/>
    </row>
    <row r="36" spans="1:12" ht="27" customHeight="1">
      <c r="A36">
        <v>26</v>
      </c>
      <c r="B36" s="254" t="s">
        <v>856</v>
      </c>
      <c r="C36" s="238">
        <f>IF(K36=0,,IF(F36="m²",VLOOKUP(K36,CEHOP_2025!$B$5:$I$253,3,),IF(F36="km",VLOOKUP(K36,CEHOP_2025!$B$5:$I$253,3,))))</f>
        <v>0</v>
      </c>
      <c r="D36" s="239">
        <f t="shared" si="0"/>
        <v>0</v>
      </c>
      <c r="E36" s="249">
        <f t="shared" si="2"/>
        <v>12000</v>
      </c>
      <c r="F36" s="241" t="s">
        <v>836</v>
      </c>
      <c r="G36" s="246">
        <f t="shared" si="3"/>
        <v>0</v>
      </c>
      <c r="H36" s="246"/>
      <c r="I36" s="248">
        <f t="shared" si="4"/>
        <v>0</v>
      </c>
      <c r="J36" s="242"/>
      <c r="K36" s="250"/>
      <c r="L36" s="256"/>
    </row>
    <row r="37" spans="1:12" ht="27" customHeight="1">
      <c r="A37">
        <v>27</v>
      </c>
      <c r="B37" s="254" t="s">
        <v>857</v>
      </c>
      <c r="C37" s="238">
        <f>IF(K37=0,,IF(F37="m²",VLOOKUP(K37,CEHOP_2025!$B$5:$I$253,3,),IF(F37="km",VLOOKUP(K37,CEHOP_2025!$B$5:$I$253,3,))))</f>
        <v>0</v>
      </c>
      <c r="D37" s="239">
        <f t="shared" si="0"/>
        <v>0</v>
      </c>
      <c r="E37" s="249">
        <f t="shared" si="2"/>
        <v>12000</v>
      </c>
      <c r="F37" s="241" t="s">
        <v>836</v>
      </c>
      <c r="G37" s="246">
        <f t="shared" si="3"/>
        <v>0</v>
      </c>
      <c r="H37" s="246"/>
      <c r="I37" s="248">
        <f t="shared" si="4"/>
        <v>0</v>
      </c>
      <c r="J37" s="242"/>
      <c r="K37" s="250"/>
      <c r="L37" s="256"/>
    </row>
    <row r="38" spans="1:12" ht="27" customHeight="1">
      <c r="A38">
        <v>28</v>
      </c>
      <c r="B38" s="254" t="s">
        <v>858</v>
      </c>
      <c r="C38" s="238">
        <f>IF(K38=0,,IF(F38="m²",VLOOKUP(K38,CEHOP_2025!$B$5:$I$253,3,),IF(F38="km",VLOOKUP(K38,CEHOP_2025!$B$5:$I$253,3,))))</f>
        <v>0</v>
      </c>
      <c r="D38" s="239">
        <f t="shared" si="0"/>
        <v>0</v>
      </c>
      <c r="E38" s="249">
        <f t="shared" si="2"/>
        <v>12000</v>
      </c>
      <c r="F38" s="241" t="s">
        <v>836</v>
      </c>
      <c r="G38" s="246">
        <f t="shared" si="3"/>
        <v>0</v>
      </c>
      <c r="H38" s="246"/>
      <c r="I38" s="248">
        <f t="shared" si="4"/>
        <v>0</v>
      </c>
      <c r="J38" s="242"/>
      <c r="K38" s="250"/>
      <c r="L38" s="256"/>
    </row>
    <row r="39" spans="1:12" ht="27" customHeight="1">
      <c r="A39">
        <v>29</v>
      </c>
      <c r="B39" s="254" t="s">
        <v>859</v>
      </c>
      <c r="C39" s="238" t="e">
        <f>G46+SUM(G14:G38)*15%</f>
        <v>#N/A</v>
      </c>
      <c r="D39" s="239" t="e">
        <f t="shared" si="0"/>
        <v>#N/A</v>
      </c>
      <c r="E39" s="249">
        <v>1</v>
      </c>
      <c r="F39" s="241" t="s">
        <v>827</v>
      </c>
      <c r="G39" s="246" t="e">
        <f t="shared" si="3"/>
        <v>#N/A</v>
      </c>
      <c r="H39" s="246"/>
      <c r="I39" s="248" t="e">
        <f t="shared" si="4"/>
        <v>#N/A</v>
      </c>
      <c r="J39" s="242" t="s">
        <v>504</v>
      </c>
      <c r="K39" s="242"/>
    </row>
    <row r="40" spans="1:12" ht="12.75" customHeight="1">
      <c r="A40" s="1">
        <v>30</v>
      </c>
      <c r="B40" s="276" t="s">
        <v>862</v>
      </c>
      <c r="C40" s="238">
        <f>IF(K40=0,,IF(F40="m²",VLOOKUP(K40,CEHOP_2025!$B$5:$I$253,3,),IF(F40="km",VLOOKUP(K40,CEHOP_2025!$B$5:$I$253,3,))))</f>
        <v>0</v>
      </c>
      <c r="D40" s="239">
        <f t="shared" si="0"/>
        <v>0</v>
      </c>
      <c r="E40" s="249">
        <f t="shared" ref="E40:E46" si="5">IF(F40="km",$D$1,IF(F40="m²",$F$1,IF(F40="m",$D$2)))</f>
        <v>12000</v>
      </c>
      <c r="F40" s="241" t="s">
        <v>836</v>
      </c>
      <c r="G40" s="272" t="e">
        <f>D40*E40+D41*E41+D42*E42+D43*E43+D44*E44+D45*E45+D46*E46</f>
        <v>#N/A</v>
      </c>
      <c r="H40" s="272"/>
      <c r="I40" s="274" t="e">
        <f t="shared" si="4"/>
        <v>#N/A</v>
      </c>
      <c r="J40" s="242"/>
      <c r="K40" s="250"/>
    </row>
    <row r="41" spans="1:12" ht="12.75" customHeight="1">
      <c r="A41" s="1"/>
      <c r="B41" s="276"/>
      <c r="C41" s="238">
        <f>IF(K41=0,,IF(F41="m²",VLOOKUP(K41,CEHOP_2025!$B$5:$I$253,3,),IF(F41="km",VLOOKUP(K41,CEHOP_2025!$B$5:$I$253,3,))))</f>
        <v>335000</v>
      </c>
      <c r="D41" s="239">
        <f t="shared" si="0"/>
        <v>335000</v>
      </c>
      <c r="E41" s="249">
        <f t="shared" si="5"/>
        <v>12000</v>
      </c>
      <c r="F41" s="241" t="s">
        <v>836</v>
      </c>
      <c r="G41" s="272"/>
      <c r="H41" s="272"/>
      <c r="I41" s="274"/>
      <c r="J41" s="242"/>
      <c r="K41" s="242" t="s">
        <v>482</v>
      </c>
    </row>
    <row r="42" spans="1:12" ht="12.75" customHeight="1">
      <c r="A42" s="1"/>
      <c r="B42" s="276"/>
      <c r="C42" s="238">
        <f>IF(K42=0,,IF(F42="m²",VLOOKUP(K42,CEHOP_2025!$B$5:$I$253,3,),IF(F42="km",VLOOKUP(K42,CEHOP_2025!$B$5:$I$253,3,))))</f>
        <v>532875</v>
      </c>
      <c r="D42" s="239">
        <f t="shared" si="0"/>
        <v>532875</v>
      </c>
      <c r="E42" s="249">
        <f t="shared" si="5"/>
        <v>12000</v>
      </c>
      <c r="F42" s="241" t="s">
        <v>836</v>
      </c>
      <c r="G42" s="272"/>
      <c r="H42" s="272"/>
      <c r="I42" s="274"/>
      <c r="J42" s="242"/>
      <c r="K42" s="242" t="s">
        <v>485</v>
      </c>
    </row>
    <row r="43" spans="1:12" ht="12.75" customHeight="1">
      <c r="A43" s="1"/>
      <c r="B43" s="276"/>
      <c r="C43" s="238">
        <f>IF(K43=0,,IF(F43="m²",VLOOKUP(K43,CEHOP_2025!$B$5:$I$253,3,),IF(F43="km",VLOOKUP(K43,CEHOP_2025!$B$5:$I$253,3,))))</f>
        <v>364400</v>
      </c>
      <c r="D43" s="239">
        <f t="shared" si="0"/>
        <v>364400</v>
      </c>
      <c r="E43" s="249">
        <f t="shared" si="5"/>
        <v>12000</v>
      </c>
      <c r="F43" s="241" t="s">
        <v>836</v>
      </c>
      <c r="G43" s="272"/>
      <c r="H43" s="272"/>
      <c r="I43" s="274"/>
      <c r="J43" s="242"/>
      <c r="K43" s="250" t="s">
        <v>488</v>
      </c>
    </row>
    <row r="44" spans="1:12" ht="12.75" customHeight="1">
      <c r="A44" s="1"/>
      <c r="B44" s="276"/>
      <c r="C44" s="238">
        <f>IF(K44=0,,IF(F44="m²",VLOOKUP(K44,CEHOP_2025!$B$5:$I$253,3,),IF(F44="km",VLOOKUP(K44,CEHOP_2025!$B$5:$I$253,3,))))</f>
        <v>1334200</v>
      </c>
      <c r="D44" s="239">
        <f t="shared" si="0"/>
        <v>1334200</v>
      </c>
      <c r="E44" s="249">
        <f t="shared" si="5"/>
        <v>12000</v>
      </c>
      <c r="F44" s="241" t="s">
        <v>836</v>
      </c>
      <c r="G44" s="272"/>
      <c r="H44" s="272"/>
      <c r="I44" s="274"/>
      <c r="J44" s="242"/>
      <c r="K44" s="250" t="s">
        <v>491</v>
      </c>
    </row>
    <row r="45" spans="1:12" ht="12.75" customHeight="1">
      <c r="A45" s="1"/>
      <c r="B45" s="276"/>
      <c r="C45" s="238">
        <f>IF(K45=0,,IF(F45="m²",VLOOKUP(K45,CEHOP_2025!$B$5:$I$253,3,),IF(F45="km",VLOOKUP(K45,CEHOP_2025!$B$5:$I$253,3,))))</f>
        <v>0</v>
      </c>
      <c r="D45" s="239">
        <f t="shared" si="0"/>
        <v>0</v>
      </c>
      <c r="E45" s="249">
        <f t="shared" si="5"/>
        <v>12000</v>
      </c>
      <c r="F45" s="241" t="s">
        <v>836</v>
      </c>
      <c r="G45" s="272"/>
      <c r="H45" s="272"/>
      <c r="I45" s="274"/>
      <c r="J45" s="242"/>
      <c r="K45" s="242"/>
    </row>
    <row r="46" spans="1:12" ht="12.75" customHeight="1">
      <c r="A46" s="1"/>
      <c r="B46" s="276"/>
      <c r="C46" s="238" t="e">
        <f>IF(K46=0,,IF(F46="m²",VLOOKUP(K46,CEHOP_2025!$B$5:$I$253,3,),IF(F46="km",VLOOKUP(K46,CEHOP_2025!$B$5:$I$253,3,))))</f>
        <v>#N/A</v>
      </c>
      <c r="D46" s="239" t="e">
        <f t="shared" si="0"/>
        <v>#N/A</v>
      </c>
      <c r="E46" s="249">
        <f t="shared" si="5"/>
        <v>12000</v>
      </c>
      <c r="F46" s="241" t="s">
        <v>836</v>
      </c>
      <c r="G46" s="272"/>
      <c r="H46" s="272"/>
      <c r="I46" s="274"/>
      <c r="J46" s="242"/>
      <c r="K46" s="250" t="s">
        <v>872</v>
      </c>
    </row>
    <row r="47" spans="1:12" ht="11.25" customHeight="1">
      <c r="B47" s="257"/>
      <c r="C47" s="257"/>
      <c r="D47" s="257"/>
      <c r="F47" s="257"/>
      <c r="J47" s="257"/>
    </row>
    <row r="48" spans="1:12" ht="24.75" customHeight="1">
      <c r="B48" s="277" t="s">
        <v>864</v>
      </c>
      <c r="C48" s="277"/>
      <c r="D48" s="277"/>
      <c r="E48" s="277"/>
      <c r="F48" s="277"/>
      <c r="G48" s="258" t="e">
        <f>+SUM(G6:G46)</f>
        <v>#N/A</v>
      </c>
      <c r="H48" s="258">
        <f>+SUM(H6:H46)</f>
        <v>0</v>
      </c>
      <c r="I48" s="258" t="e">
        <f>+SUM(I6:I46)</f>
        <v>#N/A</v>
      </c>
    </row>
    <row r="49" spans="2:9" ht="24.75" customHeight="1">
      <c r="B49" s="257"/>
      <c r="C49" s="257"/>
      <c r="D49" s="257"/>
      <c r="E49" s="257"/>
      <c r="H49" s="259" t="e">
        <f>G48/D1</f>
        <v>#N/A</v>
      </c>
      <c r="I49" s="260" t="e">
        <f>H48/G48</f>
        <v>#N/A</v>
      </c>
    </row>
    <row r="50" spans="2:9" ht="24.75" customHeight="1">
      <c r="B50" s="232" t="s">
        <v>865</v>
      </c>
      <c r="C50" s="261" t="s">
        <v>866</v>
      </c>
      <c r="D50" s="261"/>
      <c r="E50" s="261" t="s">
        <v>866</v>
      </c>
      <c r="I50" s="259" t="e">
        <f>SUM(I48:I49)</f>
        <v>#N/A</v>
      </c>
    </row>
    <row r="52" spans="2:9">
      <c r="B52" s="262" t="s">
        <v>867</v>
      </c>
    </row>
    <row r="57" spans="2:9">
      <c r="B57" s="263"/>
    </row>
  </sheetData>
  <mergeCells count="56">
    <mergeCell ref="B48:F48"/>
    <mergeCell ref="A40:A46"/>
    <mergeCell ref="B40:B46"/>
    <mergeCell ref="G40:G46"/>
    <mergeCell ref="H40:H46"/>
    <mergeCell ref="I40:I46"/>
    <mergeCell ref="A29:A32"/>
    <mergeCell ref="B29:B32"/>
    <mergeCell ref="G29:G32"/>
    <mergeCell ref="H29:H32"/>
    <mergeCell ref="I29:I32"/>
    <mergeCell ref="A25:A28"/>
    <mergeCell ref="B25:B28"/>
    <mergeCell ref="G25:G28"/>
    <mergeCell ref="H25:H28"/>
    <mergeCell ref="I25:I28"/>
    <mergeCell ref="A23:A24"/>
    <mergeCell ref="B23:B24"/>
    <mergeCell ref="G23:G24"/>
    <mergeCell ref="H23:H24"/>
    <mergeCell ref="I23:I24"/>
    <mergeCell ref="A21:A22"/>
    <mergeCell ref="B21:B22"/>
    <mergeCell ref="G21:G22"/>
    <mergeCell ref="H21:H22"/>
    <mergeCell ref="I21:I22"/>
    <mergeCell ref="A17:A19"/>
    <mergeCell ref="B17:B19"/>
    <mergeCell ref="G17:G19"/>
    <mergeCell ref="H17:H19"/>
    <mergeCell ref="I17:I19"/>
    <mergeCell ref="A14:A16"/>
    <mergeCell ref="B14:B16"/>
    <mergeCell ref="G14:G16"/>
    <mergeCell ref="H14:H16"/>
    <mergeCell ref="I14:I16"/>
    <mergeCell ref="A10:A11"/>
    <mergeCell ref="B10:B11"/>
    <mergeCell ref="G10:G11"/>
    <mergeCell ref="H10:H11"/>
    <mergeCell ref="I10:I11"/>
    <mergeCell ref="A8:A9"/>
    <mergeCell ref="B8:B9"/>
    <mergeCell ref="G8:G9"/>
    <mergeCell ref="H8:H9"/>
    <mergeCell ref="I8:I9"/>
    <mergeCell ref="A6:A7"/>
    <mergeCell ref="B6:B7"/>
    <mergeCell ref="G6:G7"/>
    <mergeCell ref="H6:H7"/>
    <mergeCell ref="I6:I7"/>
    <mergeCell ref="B2:B3"/>
    <mergeCell ref="C3:G3"/>
    <mergeCell ref="H3:I3"/>
    <mergeCell ref="J3:K3"/>
    <mergeCell ref="B5:K5"/>
  </mergeCells>
  <printOptions horizontalCentered="1"/>
  <pageMargins left="0.51180555555555596" right="0.51180555555555596" top="0.78749999999999998" bottom="0.78749999999999998" header="0.511811023622047" footer="0.511811023622047"/>
  <pageSetup paperSize="9" scale="39" fitToHeight="0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926D16D4A96643B55D471A803BA027" ma:contentTypeVersion="7" ma:contentTypeDescription="Crie um novo documento." ma:contentTypeScope="" ma:versionID="98f60060879511f6899ca13591082de9">
  <xsd:schema xmlns:xsd="http://www.w3.org/2001/XMLSchema" xmlns:xs="http://www.w3.org/2001/XMLSchema" xmlns:p="http://schemas.microsoft.com/office/2006/metadata/properties" xmlns:ns2="4a9ead18-b925-4a93-b8b7-4fa0d3c1306f" targetNamespace="http://schemas.microsoft.com/office/2006/metadata/properties" ma:root="true" ma:fieldsID="13d655408283fa8fc9749a654dbe2c35" ns2:_="">
    <xsd:import namespace="4a9ead18-b925-4a93-b8b7-4fa0d3c13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ead18-b925-4a93-b8b7-4fa0d3c13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D62037-10DA-413C-964E-B01CDD765FF8}"/>
</file>

<file path=customXml/itemProps2.xml><?xml version="1.0" encoding="utf-8"?>
<ds:datastoreItem xmlns:ds="http://schemas.openxmlformats.org/officeDocument/2006/customXml" ds:itemID="{5B9D8C9C-ECF2-4A8C-A27F-03D3A8E0BEBD}"/>
</file>

<file path=customXml/itemProps3.xml><?xml version="1.0" encoding="utf-8"?>
<ds:datastoreItem xmlns:ds="http://schemas.openxmlformats.org/officeDocument/2006/customXml" ds:itemID="{9FC12C52-B72D-4706-B3CA-074DA366D15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9</vt:i4>
      </vt:variant>
    </vt:vector>
  </HeadingPairs>
  <TitlesOfParts>
    <vt:vector size="13" baseType="lpstr">
      <vt:lpstr>CEHOP_2025</vt:lpstr>
      <vt:lpstr>SECID PR_2024</vt:lpstr>
      <vt:lpstr>RESUMO - SECID</vt:lpstr>
      <vt:lpstr>RESUMO - ORSE</vt:lpstr>
      <vt:lpstr>__Anonymous_Sheet_DB__0</vt:lpstr>
      <vt:lpstr>'RESUMO - ORSE'!Area_de_impressao</vt:lpstr>
      <vt:lpstr>'RESUMO - SECID'!Area_de_impressao</vt:lpstr>
      <vt:lpstr>'SECID PR_2024'!Area_de_impressao</vt:lpstr>
      <vt:lpstr>Excel_BuiltIn__FilterDatabase_6</vt:lpstr>
      <vt:lpstr>CEHOP_2025!Titulos_de_impressao</vt:lpstr>
      <vt:lpstr>'RESUMO - ORSE'!Titulos_de_impressao</vt:lpstr>
      <vt:lpstr>'RESUMO - SECID'!Titulos_de_impressao</vt:lpstr>
      <vt:lpstr>'SECID PR_2024'!Titulos_de_impressao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2026-02-13T11:24:56Z</cp:lastPrinted>
  <dcterms:created xsi:type="dcterms:W3CDTF">2023-04-05T22:40:05Z</dcterms:created>
  <dcterms:modified xsi:type="dcterms:W3CDTF">2026-02-13T21:35:14Z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0x01010054926D16D4A96643B55D471A803BA027</vt:lpwstr>
  </property>
</Properties>
</file>